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Clauses 4-10" sheetId="4" state="visible" r:id="rId6"/>
    <sheet name="Annex A Controls" sheetId="5" state="visible" r:id="rId7"/>
    <sheet name="Lists" sheetId="6" state="hidden" r:id="rId8"/>
  </sheets>
  <definedNames>
    <definedName function="false" hidden="false" localSheetId="4" name="_xlnm.Print_Titles" vbProcedure="false">'Annex A Controls'!$1:$3</definedName>
    <definedName function="false" hidden="false" localSheetId="3" name="_xlnm.Print_Titles" vbProcedure="false">'Clauses 4-10'!$1:$3</definedName>
    <definedName function="false" hidden="false" localSheetId="0" name="_xlnm.Print_Area" vbProcedure="false">Cover!$A$1:$G$34</definedName>
    <definedName function="false" hidden="false" localSheetId="2" name="_xlnm.Print_Area" vbProcedure="false">Dashboard!$A$1:$H$43</definedName>
    <definedName function="false" hidden="false" localSheetId="1" name="_xlnm.Print_Area" vbProcedure="false">Instructions!$A$1:$G$35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<sst xmlns="http://schemas.openxmlformats.org/spreadsheetml/2006/main" count="559" uniqueCount="380">
  <si>
    <t xml:space="preserve">RISK PROFESSIONALS</t>
  </si>
  <si>
    <t xml:space="preserve">Governance  ·  Risk  ·  Compliance</t>
  </si>
  <si>
    <t xml:space="preserve">www.riskprofs.com</t>
  </si>
  <si>
    <t xml:space="preserve">ISO/IEC 42001:2023</t>
  </si>
  <si>
    <t xml:space="preserve">AI Management System</t>
  </si>
  <si>
    <t xml:space="preserve">Compliance Self-Assessment Tool</t>
  </si>
  <si>
    <t xml:space="preserve">A structured, maturity-based self-assessment covering the management system requirements of Clauses 4 to 10 and all 38 reference controls of Annex A. Use it to establish your current position, identify gaps and prioritise your path to conformance and certification.</t>
  </si>
  <si>
    <t xml:space="preserve">DOCUMENT CONTROL</t>
  </si>
  <si>
    <t xml:space="preserve">Document title</t>
  </si>
  <si>
    <t xml:space="preserve">ISO/IEC 42001:2023 AI Management System – Compliance Self-Assessment</t>
  </si>
  <si>
    <t xml:space="preserve">Reference</t>
  </si>
  <si>
    <t xml:space="preserve">RP-FREE-42001-SA-01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</si>
  <si>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</si>
  <si>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</si>
  <si>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</si>
  <si>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</si>
  <si>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</si>
  <si>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</si>
  <si>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</si>
  <si>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</si>
  <si>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 being assessed</t>
  </si>
  <si>
    <t xml:space="preserve">Enter organisation name</t>
  </si>
  <si>
    <t xml:space="preserve">COPYRIGHT &amp; INTELLECTUAL PROPERTY</t>
  </si>
  <si>
    <t xml:space="preserve">© 2026 Risk Professionals Pty Ltd (RiskProfs). All rights reserved.</t>
  </si>
  <si>
    <t xml:space="preserve">This self-assessment tool, including its structure, wording, maturity scoring model, formatting and accompanying guidance, is the intellectual property of Risk Professionals Pty Ltd and is protected by copyright. It is provided free of charge for your organisation's own internal use in assessing its conformance with ISO/IEC 42001:2023.</t>
  </si>
  <si>
    <t xml:space="preserve">You may use and reproduce this tool for that internal purpose. You may not sell, sub-licence, rent, rebrand or distribute it or any derivative of it, in whole or in part, for commercial gain, nor remove any RiskProfs branding or copyright notice, without the prior written consent of Risk Professionals.</t>
  </si>
  <si>
    <t xml:space="preserve">Standard references: ISO/IEC 42001:2023 clause and Annex A references are paraphrased and summarised for assessment convenience. They do not reproduce the text of the standard and are not a substitute for it. The official standard is © ISO/IEC and must be obtained from ISO or an authorised reseller.</t>
  </si>
  <si>
    <t xml:space="preserve">Disclaimer: This tool provides general information, not legal, regulatory or certification advice. Completing it does not confer certification or guarantee conformance; certification can only be granted by an accredited certification body.</t>
  </si>
  <si>
    <t xml:space="preserve">How to use this self-assessment</t>
  </si>
  <si>
    <t xml:space="preserve">ISO/IEC 42001:2023  ·  Information &amp; Instructions</t>
  </si>
  <si>
    <t xml:space="preserve">1.  About this tool</t>
  </si>
  <si>
    <t xml:space="preserve">This workbook helps your organisation assess how well its Artificial Intelligence Management System (AIMS) meets ISO/IEC 42001:2023. It is a starting point for gap analysis, internal review and certification readiness, and is offered as a free resource by Risk Professionals. Work through each requirement honestly; the value comes from an accurate picture of where you stand today.</t>
  </si>
  <si>
    <t xml:space="preserve">The assessment has two working sheets. The 'Clauses 4-10' sheet covers the management system requirements, and the 'Annex A Controls' sheet covers all 38 reference controls across the nine control objectives (A.2 to A.10). The 'Dashboard' sheet summarises your results automatically.</t>
  </si>
  <si>
    <t xml:space="preserve">2.  How to complete it</t>
  </si>
  <si>
    <t xml:space="preserve">For each item, read the requirement and the 'What to look for' guidance, then record your position in the shaded input columns. Only the shaded columns need your input; the calculated columns update on their own. Add evidence references, gaps and owners as you go so the workbook doubles as an action plan.</t>
  </si>
  <si>
    <t xml:space="preserve">Input column</t>
  </si>
  <si>
    <t xml:space="preserve">What to enter</t>
  </si>
  <si>
    <t xml:space="preserve">Applicability</t>
  </si>
  <si>
    <t xml:space="preserve">Applies to the Annex A Controls sheet only — all clauses are mandatory. On the Annex A sheet, set 'Not Applicable' where a control genuinely does not apply and record the justification in the Evidence column (this mirrors a Statement of Applicability).</t>
  </si>
  <si>
    <t xml:space="preserve">Maturity Level</t>
  </si>
  <si>
    <t xml:space="preserve">Select a level from 0 to 4 that best reflects your current state (see the scale below).</t>
  </si>
  <si>
    <t xml:space="preserve">Evidence / Reference</t>
  </si>
  <si>
    <t xml:space="preserve">Note the policy, procedure, record or system that demonstrates the requirement.</t>
  </si>
  <si>
    <t xml:space="preserve">Gap / Action Required</t>
  </si>
  <si>
    <t xml:space="preserve">Describe what is missing and the action needed to close the gap.</t>
  </si>
  <si>
    <t xml:space="preserve">Owner</t>
  </si>
  <si>
    <t xml:space="preserve">Name the person or role accountable for the action.</t>
  </si>
  <si>
    <t xml:space="preserve">Target Date</t>
  </si>
  <si>
    <t xml:space="preserve">Enter the date by which the action is due.</t>
  </si>
  <si>
    <t xml:space="preserve">3.  Maturity scale</t>
  </si>
  <si>
    <t xml:space="preserve">Each requirement is rated on a five-level maturity scale. The level you choose drives both the conformance rating and the scores shown on the dashboard, so apply the descriptions consistently across the whole assessment.</t>
  </si>
  <si>
    <t xml:space="preserve">Level</t>
  </si>
  <si>
    <t xml:space="preserve">Rating</t>
  </si>
  <si>
    <t xml:space="preserve">What it means</t>
  </si>
  <si>
    <t xml:space="preserve">Conformance</t>
  </si>
  <si>
    <t xml:space="preserve">Not Implemented</t>
  </si>
  <si>
    <t xml:space="preserve">The requirement is not addressed. No activity, evidence or awareness in place.</t>
  </si>
  <si>
    <t xml:space="preserve">Non-Conformant</t>
  </si>
  <si>
    <t xml:space="preserve">Initial / Ad hoc</t>
  </si>
  <si>
    <t xml:space="preserve">Activity is informal, inconsistent or reactive. Little or no documentation exists.</t>
  </si>
  <si>
    <t xml:space="preserve">Defined</t>
  </si>
  <si>
    <t xml:space="preserve">An approach is documented and approved, and is partially implemented across the scope.</t>
  </si>
  <si>
    <t xml:space="preserve">Partially Conformant</t>
  </si>
  <si>
    <t xml:space="preserve">Implemented</t>
  </si>
  <si>
    <t xml:space="preserve">The approach is fully implemented and operating consistently across the defined scope.</t>
  </si>
  <si>
    <t xml:space="preserve">Largely Conformant</t>
  </si>
  <si>
    <t xml:space="preserve">Optimised</t>
  </si>
  <si>
    <t xml:space="preserve">The approach is implemented, measured and continually improved based on performance data.</t>
  </si>
  <si>
    <t xml:space="preserve">Fully Conformant</t>
  </si>
  <si>
    <t xml:space="preserve">An item left un-rated is shown as 'Not Started' and counts as zero maturity until you assess it.</t>
  </si>
  <si>
    <t xml:space="preserve">4.  Reading the dashboard</t>
  </si>
  <si>
    <t xml:space="preserve">The dashboard updates automatically. The tiles at the top show your overall conformance, average maturity and assessment progress. The section table breaks results down by clause and by Annex A objective with a red / amber / green band so you can see where to focus. Distribution tables show how your ratings are spread across conformance and maturity levels.</t>
  </si>
  <si>
    <t xml:space="preserve">Suggested reading: below 50% (red) indicates significant gaps and foundational work; 50-79% (amber) indicates partial implementation with defined actions to close; 80% and above (green) indicates a largely conformant, well-embedded system approaching certification readiness.</t>
  </si>
  <si>
    <t xml:space="preserve">5.  Need help getting to certification?</t>
  </si>
  <si>
    <t xml:space="preserve">Risk Professionals provides ISO/IEC 42001 implementation toolkits, gap assessments, internal audits and virtual executive support to take you from this self-assessment to certification. Visit www.riskprofs.com or get in touch to discuss your programme.</t>
  </si>
  <si>
    <t xml:space="preserve">© 2026 Risk Professionals Pty Ltd (RiskProfs). Free resource — internal use only. See the Cover sheet for full copyright and IP terms.</t>
  </si>
  <si>
    <t xml:space="preserve">ISO/IEC 42001:2023  ·  Conformance Dashboard</t>
  </si>
  <si>
    <t xml:space="preserve">Live summary — updates automatically as you complete the assessment sheets.</t>
  </si>
  <si>
    <t xml:space="preserve">OVERALL CONFORMANCE</t>
  </si>
  <si>
    <t xml:space="preserve">AVERAGE MATURITY</t>
  </si>
  <si>
    <t xml:space="preserve">ASSESSMENT PROGRESS</t>
  </si>
  <si>
    <t xml:space="preserve">Weighted across applicable items</t>
  </si>
  <si>
    <t xml:space="preserve">Mean maturity level (0 to 4)</t>
  </si>
  <si>
    <t xml:space="preserve">Applicable items rated so far</t>
  </si>
  <si>
    <t xml:space="preserve">FULLY CONFORMANT</t>
  </si>
  <si>
    <t xml:space="preserve">OPEN GAPS</t>
  </si>
  <si>
    <t xml:space="preserve">NOT APPLICABLE</t>
  </si>
  <si>
    <t xml:space="preserve">Items at maturity level 4</t>
  </si>
  <si>
    <t xml:space="preserve">Non-conformant or partial</t>
  </si>
  <si>
    <t xml:space="preserve">Annex A controls excluded</t>
  </si>
  <si>
    <t xml:space="preserve">PERFORMANCE BY SECTION</t>
  </si>
  <si>
    <t xml:space="preserve">Section</t>
  </si>
  <si>
    <t xml:space="preserve">Items</t>
  </si>
  <si>
    <t xml:space="preserve">Assessed</t>
  </si>
  <si>
    <t xml:space="preserve">Avg Maturity</t>
  </si>
  <si>
    <t xml:space="preserve">Status</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</si>
  <si>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</si>
  <si>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</si>
  <si>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</si>
  <si>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</si>
  <si>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</si>
  <si>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</si>
  <si>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</si>
  <si>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Subtotal — Clauses</t>
  </si>
  <si>
    <t xml:space="preserve">A.2  Policies related to AI</t>
  </si>
  <si>
    <t xml:space="preserve">A.3  Internal organisation</t>
  </si>
  <si>
    <t xml:space="preserve">A.4  Resources for AI systems</t>
  </si>
  <si>
    <t xml:space="preserve">A.5  Assessing impacts of AI systems</t>
  </si>
  <si>
    <t xml:space="preserve">A.6  AI system life cycle</t>
  </si>
  <si>
    <t xml:space="preserve">A.7  Data for AI systems</t>
  </si>
  <si>
    <t xml:space="preserve">A.8  Information for interested parties of AI systems</t>
  </si>
  <si>
    <t xml:space="preserve">A.9  Use of AI systems</t>
  </si>
  <si>
    <t xml:space="preserve">A.10  Third-party and customer relationships</t>
  </si>
  <si>
    <t xml:space="preserve">Subtotal — Annex A</t>
  </si>
  <si>
    <t xml:space="preserve">TOTAL — All requirements</t>
  </si>
  <si>
    <t xml:space="preserve">CONFORMANCE DISTRIBUTION</t>
  </si>
  <si>
    <t xml:space="preserve">MATURITY DISTRIBUTION</t>
  </si>
  <si>
    <t xml:space="preserve">Count</t>
  </si>
  <si>
    <t xml:space="preserve">Share</t>
  </si>
  <si>
    <t xml:space="preserve">Maturity level</t>
  </si>
  <si>
    <t xml:space="preserve">0 – Not Implemented</t>
  </si>
  <si>
    <t xml:space="preserve">1 – Initial / Ad hoc</t>
  </si>
  <si>
    <t xml:space="preserve">2 – Defined</t>
  </si>
  <si>
    <t xml:space="preserve">3 – Implemented</t>
  </si>
  <si>
    <t xml:space="preserve">Not Started</t>
  </si>
  <si>
    <t xml:space="preserve">4 – Optimised</t>
  </si>
  <si>
    <t xml:space="preserve">Not Applicable</t>
  </si>
  <si>
    <t xml:space="preserve">© 2026 Risk Professionals Pty Ltd (RiskProfs) · www.riskprofs.com · Free resource — internal use only.</t>
  </si>
  <si>
    <t xml:space="preserve">ISO/IEC 42001:2023  ·  Clauses 4 to 10 — Management System Requirements</t>
  </si>
  <si>
    <t xml:space="preserve">All clauses are mandatory. Complete the shaded columns; Conformance Rating and Score are calculated automatically.</t>
  </si>
  <si>
    <t xml:space="preserve">Ref</t>
  </si>
  <si>
    <t xml:space="preserve">Clause / Requirement</t>
  </si>
  <si>
    <t xml:space="preserve">What to look for</t>
  </si>
  <si>
    <t xml:space="preserve">Maturity
Level</t>
  </si>
  <si>
    <t xml:space="preserve">Maturity Descriptor</t>
  </si>
  <si>
    <t xml:space="preserve">Conformance Rating</t>
  </si>
  <si>
    <t xml:space="preserve">Score</t>
  </si>
  <si>
    <t xml:space="preserve">4.1</t>
  </si>
  <si>
    <t xml:space="preserve">Understanding the organisation and its context</t>
  </si>
  <si>
    <t xml:space="preserve">Determine the external and internal issues relevant to the AI management system (AIMS) and its intended outcomes, including the organisation's role(s) in relation to AI systems (e.g. provider, developer, user, deployer).</t>
  </si>
  <si>
    <t xml:space="preserve">4</t>
  </si>
  <si>
    <t xml:space="preserve">4.2</t>
  </si>
  <si>
    <t xml:space="preserve">Understanding the needs and expectations of interested parties</t>
  </si>
  <si>
    <t xml:space="preserve">Identify the interested parties relevant to the AIMS and their relevant requirements, and determine which of those requirements will be addressed through the AIMS.</t>
  </si>
  <si>
    <t xml:space="preserve">4.3</t>
  </si>
  <si>
    <t xml:space="preserve">Determining the scope of the AI management system</t>
  </si>
  <si>
    <t xml:space="preserve">Determine the boundaries and applicability of the AIMS, considering the issues (4.1), requirements (4.2) and interactions with other organisations. The scope is maintained as documented information.</t>
  </si>
  <si>
    <t xml:space="preserve">4.4</t>
  </si>
  <si>
    <t xml:space="preserve">AI management system</t>
  </si>
  <si>
    <t xml:space="preserve">Establish, implement, maintain and continually improve the AIMS, including the processes needed and their interactions, in accordance with the standard.</t>
  </si>
  <si>
    <t xml:space="preserve">5.1</t>
  </si>
  <si>
    <t xml:space="preserve">Leadership and commitment</t>
  </si>
  <si>
    <t xml:space="preserve">Top management demonstrates leadership and commitment: ensuring the AI policy and objectives are established and compatible with strategy, integrating AIMS requirements into business processes, providing resources, and promoting continual improvement.</t>
  </si>
  <si>
    <t xml:space="preserve">5</t>
  </si>
  <si>
    <t xml:space="preserve">5.2</t>
  </si>
  <si>
    <t xml:space="preserve">AI policy</t>
  </si>
  <si>
    <t xml:space="preserve">Establish an AI policy that is appropriate to the organisation's purpose, provides a framework for setting AI objectives, and includes commitments to satisfy applicable requirements and to continually improve. It is documented, communicated and available to interested parties.</t>
  </si>
  <si>
    <t xml:space="preserve">5.3</t>
  </si>
  <si>
    <t xml:space="preserve">Roles, responsibilities and authorities</t>
  </si>
  <si>
    <t xml:space="preserve">Assign and communicate the responsibilities and authorities for roles relevant to the AIMS, including ensuring conformance to the standard and reporting on AIMS performance.</t>
  </si>
  <si>
    <t xml:space="preserve">6.1.1</t>
  </si>
  <si>
    <t xml:space="preserve">Actions to address risks and opportunities – General</t>
  </si>
  <si>
    <t xml:space="preserve">When planning the AIMS, consider the issues (4.1) and requirements (4.2) and determine the risks and opportunities to be addressed to give assurance the AIMS can achieve its intended outcomes and to drive improvement.</t>
  </si>
  <si>
    <t xml:space="preserve">6</t>
  </si>
  <si>
    <t xml:space="preserve">6.1.2</t>
  </si>
  <si>
    <t xml:space="preserve">AI risk assessment</t>
  </si>
  <si>
    <t xml:space="preserve">Define and apply an AI risk assessment process that establishes and maintains risk criteria, and identifies, analyses and evaluates AI risks to produce consistent, valid and comparable results.</t>
  </si>
  <si>
    <t xml:space="preserve">6.1.3</t>
  </si>
  <si>
    <t xml:space="preserve">AI risk treatment</t>
  </si>
  <si>
    <t xml:space="preserve">Define and apply an AI risk treatment process: select treatment options, determine the necessary controls, compare them with Annex A, produce a Statement of Applicability, formulate a risk treatment plan and obtain risk owners' approval.</t>
  </si>
  <si>
    <t xml:space="preserve">6.1.4</t>
  </si>
  <si>
    <t xml:space="preserve">AI system impact assessment</t>
  </si>
  <si>
    <t xml:space="preserve">Establish a process to assess the potential consequences of AI systems to individuals, groups of individuals and society, throughout the AI system life cycle.</t>
  </si>
  <si>
    <t xml:space="preserve">6.2</t>
  </si>
  <si>
    <t xml:space="preserve">AI objectives and planning to achieve them</t>
  </si>
  <si>
    <t xml:space="preserve">Establish measurable AI objectives at relevant functions and levels, consistent with the AI policy, and plan how they will be achieved (actions, resources, responsibility, timing and evaluation).</t>
  </si>
  <si>
    <t xml:space="preserve">6.3</t>
  </si>
  <si>
    <t xml:space="preserve">Planning of changes</t>
  </si>
  <si>
    <t xml:space="preserve">When the organisation determines the need for changes to the AIMS, the changes are carried out in a planned manner.</t>
  </si>
  <si>
    <t xml:space="preserve">7.1</t>
  </si>
  <si>
    <t xml:space="preserve">Resources</t>
  </si>
  <si>
    <t xml:space="preserve">Determine and provide the resources needed for the establishment, implementation, maintenance and continual improvement of the AIMS.</t>
  </si>
  <si>
    <t xml:space="preserve">7</t>
  </si>
  <si>
    <t xml:space="preserve">7.2</t>
  </si>
  <si>
    <t xml:space="preserve">Competence</t>
  </si>
  <si>
    <t xml:space="preserve">Determine the necessary competence of persons doing work under the organisation's control, ensure they are competent, take action to acquire competence, and retain documented evidence.</t>
  </si>
  <si>
    <t xml:space="preserve">7.3</t>
  </si>
  <si>
    <t xml:space="preserve">Awareness</t>
  </si>
  <si>
    <t xml:space="preserve">Ensure persons doing work under the organisation's control are aware of the AI policy, their contribution to the AIMS, the benefits of improved performance and the implications of not conforming.</t>
  </si>
  <si>
    <t xml:space="preserve">7.4</t>
  </si>
  <si>
    <t xml:space="preserve">Communication</t>
  </si>
  <si>
    <t xml:space="preserve">Determine the internal and external communications relevant to the AIMS, including what, when, with whom, and how to communicate.</t>
  </si>
  <si>
    <t xml:space="preserve">7.5.1</t>
  </si>
  <si>
    <t xml:space="preserve">Documented information – General</t>
  </si>
  <si>
    <t xml:space="preserve">The AIMS includes the documented information required by the standard and that determined by the organisation as necessary for its effectiveness.</t>
  </si>
  <si>
    <t xml:space="preserve">7.5.2</t>
  </si>
  <si>
    <t xml:space="preserve">Creating and updating documented information</t>
  </si>
  <si>
    <t xml:space="preserve">When creating and updating documented information, ensure appropriate identification and description, format and media, and review and approval for suitability and adequacy.</t>
  </si>
  <si>
    <t xml:space="preserve">7.5.3</t>
  </si>
  <si>
    <t xml:space="preserve">Control of documented information</t>
  </si>
  <si>
    <t xml:space="preserve">Control documented information so it is available and suitable where needed and adequately protected, addressing distribution, access, retrieval, storage, version control, retention and disposition.</t>
  </si>
  <si>
    <t xml:space="preserve">8.1</t>
  </si>
  <si>
    <t xml:space="preserve">Operational planning and control</t>
  </si>
  <si>
    <t xml:space="preserve">Plan, implement and control the processes needed to meet requirements and implement the actions from clause 6, control planned changes, review unintended changes, and control externally provided processes, products and services.</t>
  </si>
  <si>
    <t xml:space="preserve">8</t>
  </si>
  <si>
    <t xml:space="preserve">8.2</t>
  </si>
  <si>
    <t xml:space="preserve">AI risk assessment (operational)</t>
  </si>
  <si>
    <t xml:space="preserve">Perform AI risk assessments at planned intervals or when significant changes are proposed or occur, and retain documented information on the results.</t>
  </si>
  <si>
    <t xml:space="preserve">8.3</t>
  </si>
  <si>
    <t xml:space="preserve">AI risk treatment (operational)</t>
  </si>
  <si>
    <t xml:space="preserve">Implement the AI risk treatment plan and retain documented information on the results.</t>
  </si>
  <si>
    <t xml:space="preserve">8.4</t>
  </si>
  <si>
    <t xml:space="preserve">AI system impact assessment (operational)</t>
  </si>
  <si>
    <t xml:space="preserve">Perform AI system impact assessments at planned intervals or when significant changes occur, and retain documented information on the results.</t>
  </si>
  <si>
    <t xml:space="preserve">9.1</t>
  </si>
  <si>
    <t xml:space="preserve">Monitoring, measurement, analysis and evaluation</t>
  </si>
  <si>
    <t xml:space="preserve">Determine what needs to be monitored and measured, the methods, and when results are analysed and evaluated, to assess AIMS performance and effectiveness. Retain appropriate documented evidence.</t>
  </si>
  <si>
    <t xml:space="preserve">9</t>
  </si>
  <si>
    <t xml:space="preserve">9.2.1</t>
  </si>
  <si>
    <t xml:space="preserve">Internal audit – General</t>
  </si>
  <si>
    <t xml:space="preserve">Conduct internal audits at planned intervals to provide information on whether the AIMS conforms to the organisation's own requirements and the standard, and is effectively implemented and maintained.</t>
  </si>
  <si>
    <t xml:space="preserve">9.2.2</t>
  </si>
  <si>
    <t xml:space="preserve">Internal audit programme</t>
  </si>
  <si>
    <t xml:space="preserve">Plan, establish, implement and maintain an audit programme; define criteria and scope for each audit; select objective auditors; report results to relevant management; and retain documented evidence.</t>
  </si>
  <si>
    <t xml:space="preserve">9.3.1</t>
  </si>
  <si>
    <t xml:space="preserve">Management review – General</t>
  </si>
  <si>
    <t xml:space="preserve">Top management reviews the AIMS at planned intervals to ensure its continuing suitability, adequacy and effectiveness.</t>
  </si>
  <si>
    <t xml:space="preserve">9.3.2</t>
  </si>
  <si>
    <t xml:space="preserve">Management review inputs</t>
  </si>
  <si>
    <t xml:space="preserve">The review considers the status of previous actions, changes in relevant issues, AIMS performance information, feedback from interested parties, and opportunities for continual improvement.</t>
  </si>
  <si>
    <t xml:space="preserve">9.3.3</t>
  </si>
  <si>
    <t xml:space="preserve">Management review results</t>
  </si>
  <si>
    <t xml:space="preserve">The outputs include decisions on continual improvement opportunities and any needs for change to the AIMS. Retain documented information as evidence of the results.</t>
  </si>
  <si>
    <t xml:space="preserve">10.1</t>
  </si>
  <si>
    <t xml:space="preserve">Continual improvement</t>
  </si>
  <si>
    <t xml:space="preserve">Continually improve the suitability, adequacy and effectiveness of the AIMS.</t>
  </si>
  <si>
    <t xml:space="preserve">10</t>
  </si>
  <si>
    <t xml:space="preserve">10.2</t>
  </si>
  <si>
    <t xml:space="preserve">Nonconformity and corrective action</t>
  </si>
  <si>
    <t xml:space="preserve">React to nonconformities, evaluate the need to eliminate the cause, implement corrective action, review effectiveness and make changes to the AIMS if necessary. Retain documented information.</t>
  </si>
  <si>
    <t xml:space="preserve">ISO/IEC 42001:2023  ·  Annex A — Reference Controls (A.2 to A.10)</t>
  </si>
  <si>
    <t xml:space="preserve">Complete the shaded columns. Set Applicability to 'Not Applicable' with a justification where a control does not apply.</t>
  </si>
  <si>
    <t xml:space="preserve">Control Objective</t>
  </si>
  <si>
    <t xml:space="preserve">Control</t>
  </si>
  <si>
    <t xml:space="preserve">Control intent / What to look for</t>
  </si>
  <si>
    <t xml:space="preserve">A.2  Policies related to AI   —   Objective: To provide management direction and support for AI systems according to business requirements.</t>
  </si>
  <si>
    <t xml:space="preserve">A.2.2</t>
  </si>
  <si>
    <t xml:space="preserve">A.2</t>
  </si>
  <si>
    <t xml:space="preserve">The organisation documents an AI policy, approved by management and aligned with business strategy and other relevant policies.</t>
  </si>
  <si>
    <t xml:space="preserve">Applicable</t>
  </si>
  <si>
    <t xml:space="preserve">A.2.3</t>
  </si>
  <si>
    <t xml:space="preserve">Alignment with other organisational policies</t>
  </si>
  <si>
    <t xml:space="preserve">The organisation determines where other policies (e.g. security, privacy, safety, quality) can be affected by AI objectives and ensures alignment.</t>
  </si>
  <si>
    <t xml:space="preserve">A.2.4</t>
  </si>
  <si>
    <t xml:space="preserve">Review of the AI policy</t>
  </si>
  <si>
    <t xml:space="preserve">The AI policy is reviewed at planned intervals, or when significant changes occur, to ensure its continuing suitability, adequacy and effectiveness.</t>
  </si>
  <si>
    <t xml:space="preserve">A.3  Internal organisation   —   Objective: To establish accountability within the organisation for a responsible approach to the implementation, operation and management of AI systems.</t>
  </si>
  <si>
    <t xml:space="preserve">A.3.2</t>
  </si>
  <si>
    <t xml:space="preserve">A.3</t>
  </si>
  <si>
    <t xml:space="preserve">AI roles and responsibilities</t>
  </si>
  <si>
    <t xml:space="preserve">AI roles and responsibilities are defined and allocated across the organisation according to its needs.</t>
  </si>
  <si>
    <t xml:space="preserve">A.3.3</t>
  </si>
  <si>
    <t xml:space="preserve">Reporting of concerns</t>
  </si>
  <si>
    <t xml:space="preserve">The organisation defines and puts in place a process for personnel to report concerns about the organisation's AI systems throughout their life cycle.</t>
  </si>
  <si>
    <t xml:space="preserve">A.4  Resources for AI systems   —   Objective: To ensure the organisation accounts for the resources (data, tooling, system, computing and human) of AI systems in order to understand and address risks and impacts.</t>
  </si>
  <si>
    <t xml:space="preserve">A.4.2</t>
  </si>
  <si>
    <t xml:space="preserve">A.4</t>
  </si>
  <si>
    <t xml:space="preserve">Resource documentation</t>
  </si>
  <si>
    <t xml:space="preserve">The organisation identifies and documents the relevant resources required for the activities at given AI system life cycle stages.</t>
  </si>
  <si>
    <t xml:space="preserve">A.4.3</t>
  </si>
  <si>
    <t xml:space="preserve">Data resources</t>
  </si>
  <si>
    <t xml:space="preserve">The organisation documents information about the data resources used for the AI systems.</t>
  </si>
  <si>
    <t xml:space="preserve">A.4.4</t>
  </si>
  <si>
    <t xml:space="preserve">Tooling resources</t>
  </si>
  <si>
    <t xml:space="preserve">The organisation documents information about the tooling resources used for the AI systems.</t>
  </si>
  <si>
    <t xml:space="preserve">A.4.5</t>
  </si>
  <si>
    <t xml:space="preserve">System and computing resources</t>
  </si>
  <si>
    <t xml:space="preserve">The organisation documents information about the system and computing resources used for the AI systems.</t>
  </si>
  <si>
    <t xml:space="preserve">A.4.6</t>
  </si>
  <si>
    <t xml:space="preserve">Human resources</t>
  </si>
  <si>
    <t xml:space="preserve">The organisation documents information about the human resources and their competences used for the development, operation, and management of AI systems.</t>
  </si>
  <si>
    <t xml:space="preserve">A.5  Assessing impacts of AI systems   —   Objective: To assess AI system impacts to individuals, groups of individuals and society throughout the system's life cycle.</t>
  </si>
  <si>
    <t xml:space="preserve">A.5.2</t>
  </si>
  <si>
    <t xml:space="preserve">A.5</t>
  </si>
  <si>
    <t xml:space="preserve">AI system impact assessment process</t>
  </si>
  <si>
    <t xml:space="preserve">The organisation establishes and maintains a process to assess the potential consequences of AI systems for individuals, groups and society throughout the life cycle.</t>
  </si>
  <si>
    <t xml:space="preserve">A.5.3</t>
  </si>
  <si>
    <t xml:space="preserve">Documentation of AI system impact assessments</t>
  </si>
  <si>
    <t xml:space="preserve">The organisation documents the results of AI system impact assessments and retains them for a defined period.</t>
  </si>
  <si>
    <t xml:space="preserve">A.5.4</t>
  </si>
  <si>
    <t xml:space="preserve">Assessing AI system impact on individuals or groups of individuals</t>
  </si>
  <si>
    <t xml:space="preserve">The organisation assesses and documents the potential impacts of AI systems to individuals or groups of individuals throughout the system's life cycle.</t>
  </si>
  <si>
    <t xml:space="preserve">A.5.5</t>
  </si>
  <si>
    <t xml:space="preserve">Assessing societal impacts of AI systems</t>
  </si>
  <si>
    <t xml:space="preserve">The organisation assesses and documents the potential societal impacts of its AI systems throughout their life cycle.</t>
  </si>
  <si>
    <t xml:space="preserve">A.6  AI system life cycle   —   Objective: To ensure the organisation identifies objectives and implements processes for the responsible design, development, deployment and operation of AI systems.</t>
  </si>
  <si>
    <t xml:space="preserve">A.6.1.2</t>
  </si>
  <si>
    <t xml:space="preserve">A.6</t>
  </si>
  <si>
    <t xml:space="preserve">Objectives for responsible development of AI systems</t>
  </si>
  <si>
    <t xml:space="preserve">The organisation identifies and documents objectives to guide the responsible development of AI systems, and takes them into account in the life cycle.</t>
  </si>
  <si>
    <t xml:space="preserve">A.6.1.3</t>
  </si>
  <si>
    <t xml:space="preserve">Processes for responsible AI system design and development</t>
  </si>
  <si>
    <t xml:space="preserve">The organisation defines and documents the processes for the responsible design and development of the AI systems.</t>
  </si>
  <si>
    <t xml:space="preserve">A.6.2.2</t>
  </si>
  <si>
    <t xml:space="preserve">AI system requirements and specification</t>
  </si>
  <si>
    <t xml:space="preserve">The organisation specifies and documents the requirements for new AI systems or material enhancements to existing systems.</t>
  </si>
  <si>
    <t xml:space="preserve">A.6.2.3</t>
  </si>
  <si>
    <t xml:space="preserve">Documentation of AI system design and development</t>
  </si>
  <si>
    <t xml:space="preserve">The organisation documents the AI system design and development based on organisational objectives, documented requirements and specified design criteria.</t>
  </si>
  <si>
    <t xml:space="preserve">A.6.2.4</t>
  </si>
  <si>
    <t xml:space="preserve">AI system verification and validation</t>
  </si>
  <si>
    <t xml:space="preserve">The organisation defines and documents verification and validation measures for the AI system and specifies criteria for their use.</t>
  </si>
  <si>
    <t xml:space="preserve">A.6.2.5</t>
  </si>
  <si>
    <t xml:space="preserve">AI system deployment</t>
  </si>
  <si>
    <t xml:space="preserve">The organisation documents a deployment plan and ensures that requirements are met before the AI system is deployed.</t>
  </si>
  <si>
    <t xml:space="preserve">A.6.2.6</t>
  </si>
  <si>
    <t xml:space="preserve">AI system operation and monitoring</t>
  </si>
  <si>
    <t xml:space="preserve">The organisation defines and documents the necessary elements for the ongoing operation and monitoring of the AI system.</t>
  </si>
  <si>
    <t xml:space="preserve">A.6.2.7</t>
  </si>
  <si>
    <t xml:space="preserve">AI system technical documentation</t>
  </si>
  <si>
    <t xml:space="preserve">The organisation determines and provides the technical documentation needed for relevant categories of interested parties.</t>
  </si>
  <si>
    <t xml:space="preserve">A.6.2.8</t>
  </si>
  <si>
    <t xml:space="preserve">AI system recording of event logs</t>
  </si>
  <si>
    <t xml:space="preserve">The organisation determines at which phases event logs should be recorded and, where appropriate, enables the recording of event logs.</t>
  </si>
  <si>
    <t xml:space="preserve">A.7  Data for AI systems   —   Objective: To ensure the organisation understands the role and impacts of data in AI systems throughout their life cycle.</t>
  </si>
  <si>
    <t xml:space="preserve">A.7.2</t>
  </si>
  <si>
    <t xml:space="preserve">A.7</t>
  </si>
  <si>
    <t xml:space="preserve">Data for development and enhancement of AI systems</t>
  </si>
  <si>
    <t xml:space="preserve">The organisation defines and documents the requirements for data used to develop and enhance the AI system.</t>
  </si>
  <si>
    <t xml:space="preserve">A.7.3</t>
  </si>
  <si>
    <t xml:space="preserve">Acquisition of data</t>
  </si>
  <si>
    <t xml:space="preserve">The organisation determines and documents details about the acquisition and selection of the data used in AI systems.</t>
  </si>
  <si>
    <t xml:space="preserve">A.7.4</t>
  </si>
  <si>
    <t xml:space="preserve">Quality of data for AI systems</t>
  </si>
  <si>
    <t xml:space="preserve">The organisation defines and documents requirements for data quality and ensures that data used meets those requirements.</t>
  </si>
  <si>
    <t xml:space="preserve">A.7.5</t>
  </si>
  <si>
    <t xml:space="preserve">Data provenance</t>
  </si>
  <si>
    <t xml:space="preserve">The organisation defines and documents a process for recording the provenance of data used in its AI systems over the life cycles of the data and the AI system.</t>
  </si>
  <si>
    <t xml:space="preserve">A.7.6</t>
  </si>
  <si>
    <t xml:space="preserve">Data preparation</t>
  </si>
  <si>
    <t xml:space="preserve">The organisation defines and documents the data preparation methods (e.g. selection, cleansing, transformation, labelling) to be used.</t>
  </si>
  <si>
    <t xml:space="preserve">A.8  Information for interested parties of AI systems   —   Objective: To ensure relevant interested parties have the necessary information to understand and assess the risks and their impacts (both positive and negative).</t>
  </si>
  <si>
    <t xml:space="preserve">A.8.2</t>
  </si>
  <si>
    <t xml:space="preserve">A.8</t>
  </si>
  <si>
    <t xml:space="preserve">System documentation and information for users</t>
  </si>
  <si>
    <t xml:space="preserve">The organisation determines and provides the necessary information to users of the AI system so they can understand and use it appropriately.</t>
  </si>
  <si>
    <t xml:space="preserve">A.8.3</t>
  </si>
  <si>
    <t xml:space="preserve">External reporting</t>
  </si>
  <si>
    <t xml:space="preserve">The organisation provides the ability for interested parties to report adverse impacts of the AI system.</t>
  </si>
  <si>
    <t xml:space="preserve">A.8.4</t>
  </si>
  <si>
    <t xml:space="preserve">Communication of incidents</t>
  </si>
  <si>
    <t xml:space="preserve">The organisation determines and documents a plan for communicating AI system incidents to relevant users.</t>
  </si>
  <si>
    <t xml:space="preserve">A.8.5</t>
  </si>
  <si>
    <t xml:space="preserve">Information for interested parties</t>
  </si>
  <si>
    <t xml:space="preserve">The organisation determines and documents its obligations to reporting information about the AI system to relevant interested parties (e.g. regulators, partners).</t>
  </si>
  <si>
    <t xml:space="preserve">A.9  Use of AI systems   —   Objective: To ensure the organisation uses AI systems responsibly and in accordance with organisational policies.</t>
  </si>
  <si>
    <t xml:space="preserve">A.9.2</t>
  </si>
  <si>
    <t xml:space="preserve">A.9</t>
  </si>
  <si>
    <t xml:space="preserve">Processes for responsible use of AI systems</t>
  </si>
  <si>
    <t xml:space="preserve">The organisation defines and documents the processes for the responsible use of AI systems.</t>
  </si>
  <si>
    <t xml:space="preserve">A.9.3</t>
  </si>
  <si>
    <t xml:space="preserve">Objectives for responsible use of AI systems</t>
  </si>
  <si>
    <t xml:space="preserve">The organisation identifies and documents objectives to guide the responsible use of AI systems.</t>
  </si>
  <si>
    <t xml:space="preserve">A.9.4</t>
  </si>
  <si>
    <t xml:space="preserve">Intended use of the AI system</t>
  </si>
  <si>
    <t xml:space="preserve">The organisation ensures that the AI system is used according to its intended purpose and accompanying documentation.</t>
  </si>
  <si>
    <t xml:space="preserve">A.10  Third-party and customer relationships   —   Objective: To ensure the organisation understands and allocates responsibilities across the AI value chain with third parties and customers.</t>
  </si>
  <si>
    <t xml:space="preserve">A.10.2</t>
  </si>
  <si>
    <t xml:space="preserve">A.10</t>
  </si>
  <si>
    <t xml:space="preserve">Allocating responsibilities</t>
  </si>
  <si>
    <t xml:space="preserve">The organisation ensures that responsibilities within its AI life cycle are allocated between itself, its partners, suppliers, customers and third parties.</t>
  </si>
  <si>
    <t xml:space="preserve">A.10.3</t>
  </si>
  <si>
    <t xml:space="preserve">Suppliers</t>
  </si>
  <si>
    <t xml:space="preserve">The organisation establishes a process to ensure that its use of services, products or materials provided by suppliers aligns with its responsible approach to AI.</t>
  </si>
  <si>
    <t xml:space="preserve">A.10.4</t>
  </si>
  <si>
    <t xml:space="preserve">Customers</t>
  </si>
  <si>
    <t xml:space="preserve">The organisation considers and, where relevant, addresses customer expectations and needs regarding the AI system.</t>
  </si>
  <si>
    <t xml:space="preserve">MaturityLevel</t>
  </si>
  <si>
    <t xml:space="preserve">MaturityName</t>
  </si>
  <si>
    <t xml:space="preserve">Definition</t>
  </si>
</sst>
</file>

<file path=xl/styles.xml><?xml version="1.0" encoding="utf-8"?>
<styleSheet xmlns="http://schemas.openxmlformats.org/spreadsheetml/2006/main">
  <numFmts count="7">
    <numFmt numFmtId="164" formatCode="General"/>
    <numFmt numFmtId="165" formatCode="0%"/>
    <numFmt numFmtId="166" formatCode="0.0&quot; / 4&quot;"/>
    <numFmt numFmtId="167" formatCode="0"/>
    <numFmt numFmtId="168" formatCode="General"/>
    <numFmt numFmtId="169" formatCode="0.0"/>
    <numFmt numFmtId="170" formatCode="dd\ mmm\ yyyy"/>
  </numFmts>
  <fonts count="38">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11"/>
      <color rgb="FF0E2841"/>
      <name val="Calibri"/>
      <family val="0"/>
      <charset val="1"/>
    </font>
    <font>
      <b val="true"/>
      <sz val="9.5"/>
      <color rgb="FF1A2733"/>
      <name val="Calibri"/>
      <family val="0"/>
      <charset val="1"/>
    </font>
    <font>
      <b val="true"/>
      <sz val="9"/>
      <color rgb="FFB22A2A"/>
      <name val="Calibri"/>
      <family val="0"/>
      <charset val="1"/>
    </font>
    <font>
      <b val="true"/>
      <sz val="9"/>
      <color rgb="FF97690A"/>
      <name val="Calibri"/>
      <family val="0"/>
      <charset val="1"/>
    </font>
    <font>
      <b val="true"/>
      <sz val="9"/>
      <color rgb="FF5A7A1C"/>
      <name val="Calibri"/>
      <family val="0"/>
      <charset val="1"/>
    </font>
    <font>
      <b val="true"/>
      <sz val="9"/>
      <color rgb="FF1E7A3C"/>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
      <color rgb="FFFFFFFF"/>
      <name val="Calibri"/>
      <family val="0"/>
      <charset val="1"/>
    </font>
    <font>
      <sz val="9"/>
      <color rgb="FF1A2733"/>
      <name val="Calibri"/>
      <family val="0"/>
      <charset val="1"/>
    </font>
    <font>
      <b val="true"/>
      <sz val="9"/>
      <color rgb="FF6B7686"/>
      <name val="Calibri"/>
      <family val="0"/>
      <charset val="1"/>
    </font>
    <font>
      <b val="true"/>
      <sz val="9"/>
      <color rgb="FF7A8592"/>
      <name val="Calibri"/>
      <family val="0"/>
      <charset val="1"/>
    </font>
  </fonts>
  <fills count="17">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EF1F4"/>
      </patternFill>
    </fill>
    <fill>
      <patternFill patternType="solid">
        <fgColor rgb="FFF5E9D2"/>
        <bgColor rgb="FFFBEECB"/>
      </patternFill>
    </fill>
    <fill>
      <patternFill patternType="solid">
        <fgColor rgb="FF1E3D5C"/>
        <bgColor rgb="FF0E2841"/>
      </patternFill>
    </fill>
    <fill>
      <patternFill patternType="solid">
        <fgColor rgb="FFFBEFD6"/>
        <bgColor rgb="FFFBEECB"/>
      </patternFill>
    </fill>
    <fill>
      <patternFill patternType="solid">
        <fgColor rgb="FFF6DEDE"/>
        <bgColor rgb="FFF5E9D2"/>
      </patternFill>
    </fill>
    <fill>
      <patternFill patternType="solid">
        <fgColor rgb="FFFBEECB"/>
        <bgColor rgb="FFFBEFD6"/>
      </patternFill>
    </fill>
    <fill>
      <patternFill patternType="solid">
        <fgColor rgb="FFE7F1D6"/>
        <bgColor rgb="FFD8ECDB"/>
      </patternFill>
    </fill>
    <fill>
      <patternFill patternType="solid">
        <fgColor rgb="FFD8ECDB"/>
        <bgColor rgb="FFE7F1D6"/>
      </patternFill>
    </fill>
    <fill>
      <patternFill patternType="solid">
        <fgColor rgb="FFEAEDF0"/>
        <bgColor rgb="FFEEF1F4"/>
      </patternFill>
    </fill>
    <fill>
      <patternFill patternType="solid">
        <fgColor rgb="FFE4E6E9"/>
        <bgColor rgb="FFEAEDF0"/>
      </patternFill>
    </fill>
    <fill>
      <patternFill patternType="solid">
        <fgColor rgb="FF35526E"/>
        <bgColor rgb="FF1E3D5C"/>
      </patternFill>
    </fill>
    <fill>
      <patternFill patternType="solid">
        <fgColor rgb="FFFFFFFF"/>
        <bgColor rgb="FFF2F4F7"/>
      </patternFill>
    </fill>
    <fill>
      <patternFill patternType="solid">
        <fgColor rgb="FFEEF1F4"/>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9" fillId="2" borderId="1" xfId="0" applyFont="true" applyBorder="true" applyAlignment="true" applyProtection="false">
      <alignment horizontal="left" vertical="center" textRotation="0" wrapText="false" indent="0" shrinkToFit="false"/>
      <protection locked="true" hidden="false"/>
    </xf>
    <xf numFmtId="164" fontId="22" fillId="4" borderId="1" xfId="0" applyFont="true" applyBorder="true" applyAlignment="true" applyProtection="false">
      <alignment horizontal="center" vertical="center" textRotation="0" wrapText="false" indent="0" shrinkToFit="false"/>
      <protection locked="true" hidden="false"/>
    </xf>
    <xf numFmtId="164" fontId="23" fillId="0" borderId="1" xfId="0" applyFont="true" applyBorder="true" applyAlignment="true" applyProtection="false">
      <alignment horizontal="left" vertical="center" textRotation="0" wrapText="true" indent="0" shrinkToFit="false"/>
      <protection locked="true" hidden="false"/>
    </xf>
    <xf numFmtId="164" fontId="24" fillId="8" borderId="1" xfId="0" applyFont="true" applyBorder="true" applyAlignment="true" applyProtection="false">
      <alignment horizontal="center" vertical="center" textRotation="0" wrapText="true" indent="0" shrinkToFit="false"/>
      <protection locked="true" hidden="false"/>
    </xf>
    <xf numFmtId="164" fontId="25" fillId="9" borderId="1" xfId="0" applyFont="true" applyBorder="true" applyAlignment="true" applyProtection="false">
      <alignment horizontal="center" vertical="center" textRotation="0" wrapText="true" indent="0" shrinkToFit="false"/>
      <protection locked="true" hidden="false"/>
    </xf>
    <xf numFmtId="164" fontId="26" fillId="10" borderId="1" xfId="0" applyFont="true" applyBorder="true" applyAlignment="true" applyProtection="false">
      <alignment horizontal="center" vertical="center" textRotation="0" wrapText="true" indent="0" shrinkToFit="false"/>
      <protection locked="true" hidden="false"/>
    </xf>
    <xf numFmtId="164" fontId="27" fillId="11" borderId="1" xfId="0" applyFont="true" applyBorder="true" applyAlignment="true" applyProtection="false">
      <alignment horizontal="center"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7" fontId="30" fillId="2" borderId="0" xfId="0" applyFont="true" applyBorder="true" applyAlignment="true" applyProtection="false">
      <alignment horizontal="left" vertical="center"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8" fontId="21" fillId="0" borderId="1" xfId="0" applyFont="true" applyBorder="true" applyAlignment="true" applyProtection="false">
      <alignment horizontal="center" vertical="center" textRotation="0" wrapText="true" indent="0" shrinkToFit="false"/>
      <protection locked="true" hidden="false"/>
    </xf>
    <xf numFmtId="169"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8" fontId="23" fillId="5" borderId="1" xfId="0" applyFont="true" applyBorder="true" applyAlignment="true" applyProtection="false">
      <alignment horizontal="center" vertical="center" textRotation="0" wrapText="true" indent="0" shrinkToFit="false"/>
      <protection locked="true" hidden="false"/>
    </xf>
    <xf numFmtId="169" fontId="23" fillId="5" borderId="1" xfId="0" applyFont="true" applyBorder="true" applyAlignment="true" applyProtection="false">
      <alignment horizontal="center" vertical="center" textRotation="0" wrapText="true" indent="0" shrinkToFit="false"/>
      <protection locked="true" hidden="false"/>
    </xf>
    <xf numFmtId="165" fontId="23" fillId="5" borderId="1" xfId="0" applyFont="true" applyBorder="true" applyAlignment="true" applyProtection="false">
      <alignment horizontal="center" vertical="center" textRotation="0" wrapText="true" indent="0" shrinkToFit="false"/>
      <protection locked="true" hidden="false"/>
    </xf>
    <xf numFmtId="164" fontId="33"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4" fontId="27" fillId="11" borderId="1" xfId="0" applyFont="true" applyBorder="true" applyAlignment="true" applyProtection="false">
      <alignment horizontal="left" vertical="center" textRotation="0" wrapText="true" indent="0" shrinkToFit="false"/>
      <protection locked="true" hidden="false"/>
    </xf>
    <xf numFmtId="167"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35" fillId="4" borderId="1" xfId="0" applyFont="true" applyBorder="true" applyAlignment="true" applyProtection="false">
      <alignment horizontal="left" vertical="center" textRotation="0" wrapText="true" indent="0" shrinkToFit="false"/>
      <protection locked="true" hidden="false"/>
    </xf>
    <xf numFmtId="164" fontId="26" fillId="10" borderId="1" xfId="0" applyFont="true" applyBorder="true" applyAlignment="true" applyProtection="false">
      <alignment horizontal="left" vertical="center" textRotation="0" wrapText="true" indent="0" shrinkToFit="false"/>
      <protection locked="true" hidden="false"/>
    </xf>
    <xf numFmtId="164" fontId="25" fillId="9" borderId="1" xfId="0" applyFont="true" applyBorder="true" applyAlignment="true" applyProtection="false">
      <alignment horizontal="left" vertical="center" textRotation="0" wrapText="true" indent="0" shrinkToFit="false"/>
      <protection locked="true" hidden="false"/>
    </xf>
    <xf numFmtId="164" fontId="24" fillId="8" borderId="1" xfId="0" applyFont="true" applyBorder="true" applyAlignment="true" applyProtection="false">
      <alignment horizontal="left" vertical="center" textRotation="0" wrapText="true" indent="0" shrinkToFit="false"/>
      <protection locked="true" hidden="false"/>
    </xf>
    <xf numFmtId="164" fontId="36" fillId="12" borderId="1" xfId="0" applyFont="true" applyBorder="true" applyAlignment="true" applyProtection="false">
      <alignment horizontal="left" vertical="center" textRotation="0" wrapText="true" indent="0" shrinkToFit="false"/>
      <protection locked="true" hidden="false"/>
    </xf>
    <xf numFmtId="164" fontId="37" fillId="13" borderId="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4" borderId="2" xfId="0" applyFont="true" applyBorder="true" applyAlignment="true" applyProtection="false">
      <alignment horizontal="left" vertical="center" textRotation="0" wrapText="false" indent="0" shrinkToFit="false"/>
      <protection locked="true" hidden="false"/>
    </xf>
    <xf numFmtId="164" fontId="20" fillId="15" borderId="1" xfId="0" applyFont="true" applyBorder="true" applyAlignment="true" applyProtection="false">
      <alignment horizontal="left" vertical="top" textRotation="0" wrapText="true" indent="0" shrinkToFit="false"/>
      <protection locked="true" hidden="false"/>
    </xf>
    <xf numFmtId="164" fontId="21" fillId="15"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5" fillId="16" borderId="1" xfId="0" applyFont="true" applyBorder="true" applyAlignment="true" applyProtection="false">
      <alignment horizontal="left" vertical="center" textRotation="0" wrapText="true" indent="0" shrinkToFit="false"/>
      <protection locked="true" hidden="false"/>
    </xf>
    <xf numFmtId="164" fontId="33" fillId="16" borderId="1" xfId="0" applyFont="true" applyBorder="true" applyAlignment="true" applyProtection="false">
      <alignment horizontal="center" vertical="center" textRotation="0" wrapText="true" indent="0" shrinkToFit="false"/>
      <protection locked="true" hidden="false"/>
    </xf>
    <xf numFmtId="165" fontId="13" fillId="16" borderId="1" xfId="0" applyFont="true" applyBorder="true" applyAlignment="true" applyProtection="false">
      <alignment horizontal="center" vertical="center"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70" fontId="13" fillId="7"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5A7A1C"/>
        <sz val="9"/>
      </font>
      <fill>
        <patternFill>
          <bgColor rgb="FFE7F1D6"/>
        </patternFill>
      </fill>
    </dxf>
    <dxf>
      <font>
        <name val="Calibri"/>
        <charset val="1"/>
        <family val="0"/>
        <b val="1"/>
        <color rgb="FF6B7686"/>
        <sz val="9"/>
      </font>
      <fill>
        <patternFill>
          <bgColor rgb="FFEAEDF0"/>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2F4F7"/>
      <rgbColor rgb="FFFF00FF"/>
      <rgbColor rgb="FF00FFFF"/>
      <rgbColor rgb="FF800000"/>
      <rgbColor rgb="FF1E7A3C"/>
      <rgbColor rgb="FF000080"/>
      <rgbColor rgb="FF97690A"/>
      <rgbColor rgb="FF800080"/>
      <rgbColor rgb="FF008080"/>
      <rgbColor rgb="FFD5DAE0"/>
      <rgbColor rgb="FF7A8592"/>
      <rgbColor rgb="FF9999FF"/>
      <rgbColor rgb="FF9C7430"/>
      <rgbColor rgb="FFFBEFD6"/>
      <rgbColor rgb="FFEEF1F4"/>
      <rgbColor rgb="FF660066"/>
      <rgbColor rgb="FFFF8080"/>
      <rgbColor rgb="FF0066CC"/>
      <rgbColor rgb="FFC9D3DD"/>
      <rgbColor rgb="FF000080"/>
      <rgbColor rgb="FFFF00FF"/>
      <rgbColor rgb="FFFFFF00"/>
      <rgbColor rgb="FF00FFFF"/>
      <rgbColor rgb="FF800080"/>
      <rgbColor rgb="FF800000"/>
      <rgbColor rgb="FF008080"/>
      <rgbColor rgb="FF0000FF"/>
      <rgbColor rgb="FF00CCFF"/>
      <rgbColor rgb="FFEAEDF0"/>
      <rgbColor rgb="FFD8ECDB"/>
      <rgbColor rgb="FFFBEECB"/>
      <rgbColor rgb="FFE4E6E9"/>
      <rgbColor rgb="FFF5E9D2"/>
      <rgbColor rgb="FFE7F1D6"/>
      <rgbColor rgb="FFF6DEDE"/>
      <rgbColor rgb="FF3366FF"/>
      <rgbColor rgb="FF33CCCC"/>
      <rgbColor rgb="FF99CC00"/>
      <rgbColor rgb="FFFFCC00"/>
      <rgbColor rgb="FFC4943E"/>
      <rgbColor rgb="FFFF6600"/>
      <rgbColor rgb="FF5B6B7A"/>
      <rgbColor rgb="FF6B7686"/>
      <rgbColor rgb="FF0E2841"/>
      <rgbColor rgb="FF5A7A1C"/>
      <rgbColor rgb="FF003300"/>
      <rgbColor rgb="FF35526E"/>
      <rgbColor rgb="FFB22A2A"/>
      <rgbColor rgb="FF993366"/>
      <rgbColor rgb="FF1E3D5C"/>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8" customFormat="false" ht="19.5" hidden="false" customHeight="true" outlineLevel="0" collapsed="false">
      <c r="B28" s="10" t="s">
        <v>22</v>
      </c>
      <c r="C28" s="10"/>
      <c r="D28" s="10"/>
      <c r="E28" s="10"/>
      <c r="F28" s="10"/>
    </row>
    <row r="29" customFormat="false" ht="15.75" hidden="false" customHeight="true" outlineLevel="0" collapsed="false">
      <c r="B29" s="13" t="s">
        <v>23</v>
      </c>
      <c r="C29" s="13"/>
      <c r="D29" s="13"/>
      <c r="E29" s="13"/>
      <c r="F29" s="13"/>
    </row>
    <row r="30" customFormat="false" ht="55.5" hidden="false" customHeight="true" outlineLevel="0" collapsed="false">
      <c r="B30" s="14" t="s">
        <v>24</v>
      </c>
      <c r="C30" s="14"/>
      <c r="D30" s="14"/>
      <c r="E30" s="14"/>
      <c r="F30" s="14"/>
    </row>
    <row r="31" customFormat="false" ht="55.5" hidden="false" customHeight="true" outlineLevel="0" collapsed="false">
      <c r="B31" s="14" t="s">
        <v>25</v>
      </c>
      <c r="C31" s="14"/>
      <c r="D31" s="14"/>
      <c r="E31" s="14"/>
      <c r="F31" s="14"/>
    </row>
    <row r="32" customFormat="false" ht="55.5" hidden="false" customHeight="true" outlineLevel="0" collapsed="false">
      <c r="B32" s="14" t="s">
        <v>26</v>
      </c>
      <c r="C32" s="14"/>
      <c r="D32" s="14"/>
      <c r="E32" s="14"/>
      <c r="F32" s="14"/>
    </row>
    <row r="33" customFormat="false" ht="42.75" hidden="false" customHeight="true" outlineLevel="0" collapsed="false">
      <c r="B33" s="14" t="s">
        <v>27</v>
      </c>
      <c r="C33" s="14"/>
      <c r="D33" s="14"/>
      <c r="E33" s="14"/>
      <c r="F33" s="14"/>
    </row>
  </sheetData>
  <mergeCells count="29">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8:F28"/>
    <mergeCell ref="B29:F29"/>
    <mergeCell ref="B30:F30"/>
    <mergeCell ref="B31:F31"/>
    <mergeCell ref="B32:F32"/>
    <mergeCell ref="B33:F33"/>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28</v>
      </c>
      <c r="B1" s="15"/>
      <c r="C1" s="15"/>
      <c r="D1" s="15"/>
      <c r="E1" s="15"/>
      <c r="F1" s="15"/>
      <c r="G1" s="15"/>
    </row>
    <row r="2" customFormat="false" ht="19.5" hidden="false" customHeight="true" outlineLevel="0" collapsed="false">
      <c r="A2" s="16" t="s">
        <v>29</v>
      </c>
      <c r="B2" s="16"/>
      <c r="C2" s="16"/>
      <c r="D2" s="16"/>
      <c r="E2" s="16"/>
      <c r="F2" s="16"/>
      <c r="G2" s="16"/>
    </row>
    <row r="4" customFormat="false" ht="21.75" hidden="false" customHeight="true" outlineLevel="0" collapsed="false">
      <c r="B4" s="17" t="s">
        <v>30</v>
      </c>
      <c r="C4" s="17"/>
      <c r="D4" s="17"/>
      <c r="E4" s="17"/>
      <c r="F4" s="17"/>
    </row>
    <row r="5" customFormat="false" ht="57.75" hidden="false" customHeight="true" outlineLevel="0" collapsed="false">
      <c r="B5" s="18" t="s">
        <v>31</v>
      </c>
      <c r="C5" s="18"/>
      <c r="D5" s="18"/>
      <c r="E5" s="18"/>
      <c r="F5" s="18"/>
    </row>
    <row r="6" customFormat="false" ht="45" hidden="false" customHeight="true" outlineLevel="0" collapsed="false">
      <c r="B6" s="18" t="s">
        <v>32</v>
      </c>
      <c r="C6" s="18"/>
      <c r="D6" s="18"/>
      <c r="E6" s="18"/>
      <c r="F6" s="18"/>
    </row>
    <row r="8" customFormat="false" ht="21.75" hidden="false" customHeight="true" outlineLevel="0" collapsed="false">
      <c r="B8" s="17" t="s">
        <v>33</v>
      </c>
      <c r="C8" s="17"/>
      <c r="D8" s="17"/>
      <c r="E8" s="17"/>
      <c r="F8" s="17"/>
    </row>
    <row r="9" customFormat="false" ht="45" hidden="false" customHeight="true" outlineLevel="0" collapsed="false">
      <c r="B9" s="18" t="s">
        <v>34</v>
      </c>
      <c r="C9" s="18"/>
      <c r="D9" s="18"/>
      <c r="E9" s="18"/>
      <c r="F9" s="18"/>
    </row>
    <row r="10" customFormat="false" ht="18" hidden="false" customHeight="true" outlineLevel="0" collapsed="false">
      <c r="B10" s="19" t="s">
        <v>35</v>
      </c>
      <c r="C10" s="20" t="s">
        <v>36</v>
      </c>
      <c r="D10" s="20"/>
      <c r="E10" s="20"/>
      <c r="F10" s="20"/>
    </row>
    <row r="11" customFormat="false" ht="45" hidden="false" customHeight="true" outlineLevel="0" collapsed="false">
      <c r="B11" s="21" t="s">
        <v>37</v>
      </c>
      <c r="C11" s="22" t="s">
        <v>38</v>
      </c>
      <c r="D11" s="22"/>
      <c r="E11" s="22"/>
      <c r="F11" s="22"/>
    </row>
    <row r="12" customFormat="false" ht="25.5" hidden="false" customHeight="true" outlineLevel="0" collapsed="false">
      <c r="B12" s="21" t="s">
        <v>39</v>
      </c>
      <c r="C12" s="22" t="s">
        <v>40</v>
      </c>
      <c r="D12" s="22"/>
      <c r="E12" s="22"/>
      <c r="F12" s="22"/>
    </row>
    <row r="13" customFormat="false" ht="25.5" hidden="false" customHeight="true" outlineLevel="0" collapsed="false">
      <c r="B13" s="21" t="s">
        <v>41</v>
      </c>
      <c r="C13" s="22" t="s">
        <v>42</v>
      </c>
      <c r="D13" s="22"/>
      <c r="E13" s="22"/>
      <c r="F13" s="22"/>
    </row>
    <row r="14" customFormat="false" ht="25.5" hidden="false" customHeight="true" outlineLevel="0" collapsed="false">
      <c r="B14" s="21" t="s">
        <v>43</v>
      </c>
      <c r="C14" s="22" t="s">
        <v>44</v>
      </c>
      <c r="D14" s="22"/>
      <c r="E14" s="22"/>
      <c r="F14" s="22"/>
    </row>
    <row r="15" customFormat="false" ht="25.5" hidden="false" customHeight="true" outlineLevel="0" collapsed="false">
      <c r="B15" s="21" t="s">
        <v>45</v>
      </c>
      <c r="C15" s="22" t="s">
        <v>46</v>
      </c>
      <c r="D15" s="22"/>
      <c r="E15" s="22"/>
      <c r="F15" s="22"/>
    </row>
    <row r="16" customFormat="false" ht="25.5" hidden="false" customHeight="true" outlineLevel="0" collapsed="false">
      <c r="B16" s="21" t="s">
        <v>47</v>
      </c>
      <c r="C16" s="22" t="s">
        <v>48</v>
      </c>
      <c r="D16" s="22"/>
      <c r="E16" s="22"/>
      <c r="F16" s="22"/>
    </row>
    <row r="18" customFormat="false" ht="21.75" hidden="false" customHeight="true" outlineLevel="0" collapsed="false">
      <c r="B18" s="17" t="s">
        <v>49</v>
      </c>
      <c r="C18" s="17"/>
      <c r="D18" s="17"/>
      <c r="E18" s="17"/>
      <c r="F18" s="17"/>
    </row>
    <row r="19" customFormat="false" ht="31.5" hidden="false" customHeight="true" outlineLevel="0" collapsed="false">
      <c r="B19" s="18" t="s">
        <v>50</v>
      </c>
      <c r="C19" s="18"/>
      <c r="D19" s="18"/>
      <c r="E19" s="18"/>
      <c r="F19" s="18"/>
    </row>
    <row r="20" customFormat="false" ht="18" hidden="false" customHeight="true" outlineLevel="0" collapsed="false">
      <c r="B20" s="23" t="s">
        <v>51</v>
      </c>
      <c r="C20" s="23" t="s">
        <v>52</v>
      </c>
      <c r="D20" s="23" t="s">
        <v>53</v>
      </c>
      <c r="E20" s="23"/>
      <c r="F20" s="23" t="s">
        <v>54</v>
      </c>
    </row>
    <row r="21" customFormat="false" ht="31.5" hidden="false" customHeight="true" outlineLevel="0" collapsed="false">
      <c r="B21" s="24" t="n">
        <v>0</v>
      </c>
      <c r="C21" s="25" t="s">
        <v>55</v>
      </c>
      <c r="D21" s="22" t="s">
        <v>56</v>
      </c>
      <c r="E21" s="22"/>
      <c r="F21" s="26" t="s">
        <v>57</v>
      </c>
    </row>
    <row r="22" customFormat="false" ht="31.5" hidden="false" customHeight="true" outlineLevel="0" collapsed="false">
      <c r="B22" s="24" t="n">
        <v>1</v>
      </c>
      <c r="C22" s="25" t="s">
        <v>58</v>
      </c>
      <c r="D22" s="22" t="s">
        <v>59</v>
      </c>
      <c r="E22" s="22"/>
      <c r="F22" s="26" t="s">
        <v>57</v>
      </c>
    </row>
    <row r="23" customFormat="false" ht="31.5" hidden="false" customHeight="true" outlineLevel="0" collapsed="false">
      <c r="B23" s="24" t="n">
        <v>2</v>
      </c>
      <c r="C23" s="25" t="s">
        <v>60</v>
      </c>
      <c r="D23" s="22" t="s">
        <v>61</v>
      </c>
      <c r="E23" s="22"/>
      <c r="F23" s="27" t="s">
        <v>62</v>
      </c>
    </row>
    <row r="24" customFormat="false" ht="31.5" hidden="false" customHeight="true" outlineLevel="0" collapsed="false">
      <c r="B24" s="24" t="n">
        <v>3</v>
      </c>
      <c r="C24" s="25" t="s">
        <v>63</v>
      </c>
      <c r="D24" s="22" t="s">
        <v>64</v>
      </c>
      <c r="E24" s="22"/>
      <c r="F24" s="28" t="s">
        <v>65</v>
      </c>
    </row>
    <row r="25" customFormat="false" ht="31.5" hidden="false" customHeight="true" outlineLevel="0" collapsed="false">
      <c r="B25" s="24" t="n">
        <v>4</v>
      </c>
      <c r="C25" s="25" t="s">
        <v>66</v>
      </c>
      <c r="D25" s="22" t="s">
        <v>67</v>
      </c>
      <c r="E25" s="22"/>
      <c r="F25" s="29" t="s">
        <v>68</v>
      </c>
    </row>
    <row r="26" customFormat="false" ht="18.75" hidden="false" customHeight="true" outlineLevel="0" collapsed="false">
      <c r="B26" s="14" t="s">
        <v>69</v>
      </c>
      <c r="C26" s="14"/>
      <c r="D26" s="14"/>
      <c r="E26" s="14"/>
      <c r="F26" s="14"/>
    </row>
    <row r="28" customFormat="false" ht="21.75" hidden="false" customHeight="true" outlineLevel="0" collapsed="false">
      <c r="B28" s="17" t="s">
        <v>70</v>
      </c>
      <c r="C28" s="17"/>
      <c r="D28" s="17"/>
      <c r="E28" s="17"/>
      <c r="F28" s="17"/>
    </row>
    <row r="29" customFormat="false" ht="57.75" hidden="false" customHeight="true" outlineLevel="0" collapsed="false">
      <c r="B29" s="18" t="s">
        <v>71</v>
      </c>
      <c r="C29" s="18"/>
      <c r="D29" s="18"/>
      <c r="E29" s="18"/>
      <c r="F29" s="18"/>
    </row>
    <row r="30" customFormat="false" ht="45" hidden="false" customHeight="true" outlineLevel="0" collapsed="false">
      <c r="B30" s="18" t="s">
        <v>72</v>
      </c>
      <c r="C30" s="18"/>
      <c r="D30" s="18"/>
      <c r="E30" s="18"/>
      <c r="F30" s="18"/>
    </row>
    <row r="32" customFormat="false" ht="21.75" hidden="false" customHeight="true" outlineLevel="0" collapsed="false">
      <c r="B32" s="17" t="s">
        <v>73</v>
      </c>
      <c r="C32" s="17"/>
      <c r="D32" s="17"/>
      <c r="E32" s="17"/>
      <c r="F32" s="17"/>
    </row>
    <row r="33" customFormat="false" ht="45" hidden="false" customHeight="true" outlineLevel="0" collapsed="false">
      <c r="B33" s="18" t="s">
        <v>74</v>
      </c>
      <c r="C33" s="18"/>
      <c r="D33" s="18"/>
      <c r="E33" s="18"/>
      <c r="F33" s="18"/>
    </row>
    <row r="34" customFormat="false" ht="31.5" hidden="false" customHeight="true" outlineLevel="0" collapsed="false">
      <c r="B34" s="30" t="s">
        <v>75</v>
      </c>
      <c r="C34" s="30"/>
      <c r="D34" s="30"/>
      <c r="E34" s="30"/>
      <c r="F34" s="30"/>
    </row>
  </sheetData>
  <mergeCells count="29">
    <mergeCell ref="A1:G1"/>
    <mergeCell ref="A2:G2"/>
    <mergeCell ref="B4:F4"/>
    <mergeCell ref="B5:F5"/>
    <mergeCell ref="B6:F6"/>
    <mergeCell ref="B8:F8"/>
    <mergeCell ref="B9:F9"/>
    <mergeCell ref="C10:F10"/>
    <mergeCell ref="C11:F11"/>
    <mergeCell ref="C12:F12"/>
    <mergeCell ref="C13:F13"/>
    <mergeCell ref="C14:F14"/>
    <mergeCell ref="C15:F15"/>
    <mergeCell ref="C16:F16"/>
    <mergeCell ref="B18:F18"/>
    <mergeCell ref="B19:F19"/>
    <mergeCell ref="D20:E20"/>
    <mergeCell ref="D21:E21"/>
    <mergeCell ref="D22:E22"/>
    <mergeCell ref="D23:E23"/>
    <mergeCell ref="D24:E24"/>
    <mergeCell ref="D25:E25"/>
    <mergeCell ref="B26:F26"/>
    <mergeCell ref="B28:F28"/>
    <mergeCell ref="B29:F29"/>
    <mergeCell ref="B30:F30"/>
    <mergeCell ref="B32:F32"/>
    <mergeCell ref="B33:F33"/>
    <mergeCell ref="B34:F34"/>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76</v>
      </c>
      <c r="B1" s="15"/>
      <c r="C1" s="15"/>
      <c r="D1" s="15"/>
      <c r="E1" s="15"/>
      <c r="F1" s="15"/>
      <c r="G1" s="15"/>
      <c r="H1" s="15"/>
    </row>
    <row r="2" customFormat="false" ht="19.5" hidden="false" customHeight="true" outlineLevel="0" collapsed="false">
      <c r="A2" s="16" t="s">
        <v>77</v>
      </c>
      <c r="B2" s="16"/>
      <c r="C2" s="16"/>
      <c r="D2" s="16"/>
      <c r="E2" s="16"/>
      <c r="F2" s="16"/>
      <c r="G2" s="16"/>
      <c r="H2" s="16"/>
    </row>
    <row r="4" customFormat="false" ht="15.75" hidden="false" customHeight="true" outlineLevel="0" collapsed="false">
      <c r="B4" s="31" t="s">
        <v>78</v>
      </c>
      <c r="C4" s="31"/>
      <c r="D4" s="31" t="s">
        <v>79</v>
      </c>
      <c r="E4" s="31"/>
      <c r="F4" s="31" t="s">
        <v>80</v>
      </c>
      <c r="G4" s="31"/>
    </row>
    <row r="5" customFormat="false" ht="33.75" hidden="false" customHeight="true" outlineLevel="0" collapsed="false">
      <c r="B5" s="32" t="n">
        <f aca="false">IFERROR((SUMIFS('Clauses 4-10'!$D:$D,'Clauses 4-10'!$L:$L,"?*")+SUMIFS('Annex A Controls'!$F:$F,'Annex A Controls'!$E:$E,"Applicable"))/(4*(COUNTIF('Clauses 4-10'!$L:$L,"?*")+COUNTIF('Annex A Controls'!$E:$E,"Applicable"))),0)</f>
        <v>0</v>
      </c>
      <c r="C5" s="32"/>
      <c r="D5" s="33" t="n">
        <f aca="false">IFERROR((SUMIFS('Clauses 4-10'!$D:$D,'Clauses 4-10'!$L:$L,"?*")+SUMIFS('Annex A Controls'!$F:$F,'Annex A Controls'!$E:$E,"Applicable"))/(COUNTIF('Clauses 4-10'!$L:$L,"?*")+COUNTIF('Annex A Controls'!$E:$E,"Applicable")),0)</f>
        <v>0</v>
      </c>
      <c r="E5" s="33"/>
      <c r="F5" s="34" t="str">
        <f aca="false">TEXT((COUNTIFS('Clauses 4-10'!$L:$L,"?*",'Clauses 4-10'!$D:$D,"&gt;=0")+COUNTIFS('Annex A Controls'!$E:$E,"Applicable",'Annex A Controls'!$F:$F,"&gt;=0")),"0")&amp;" / "&amp;TEXT((COUNTIF('Clauses 4-10'!$L:$L,"?*")+COUNTIF('Annex A Controls'!$E:$E,"Applicable")),"0")</f>
        <v>0 / 70</v>
      </c>
      <c r="G5" s="34"/>
    </row>
    <row r="6" customFormat="false" ht="15.75" hidden="false" customHeight="true" outlineLevel="0" collapsed="false">
      <c r="B6" s="35" t="s">
        <v>81</v>
      </c>
      <c r="C6" s="35"/>
      <c r="D6" s="35" t="s">
        <v>82</v>
      </c>
      <c r="E6" s="35"/>
      <c r="F6" s="35" t="s">
        <v>83</v>
      </c>
      <c r="G6" s="35"/>
    </row>
    <row r="8" customFormat="false" ht="15.75" hidden="false" customHeight="true" outlineLevel="0" collapsed="false">
      <c r="B8" s="31" t="s">
        <v>84</v>
      </c>
      <c r="C8" s="31"/>
      <c r="D8" s="31" t="s">
        <v>85</v>
      </c>
      <c r="E8" s="31"/>
      <c r="F8" s="31" t="s">
        <v>86</v>
      </c>
      <c r="G8" s="31"/>
    </row>
    <row r="9" customFormat="false" ht="33.75" hidden="false" customHeight="true" outlineLevel="0" collapsed="false">
      <c r="B9" s="36" t="n">
        <f aca="false">(COUNTIF('Clauses 4-10'!$F:$F,"Fully Conformant")+COUNTIF('Annex A Controls'!$H:$H,"Fully Conformant"))</f>
        <v>0</v>
      </c>
      <c r="C9" s="36"/>
      <c r="D9" s="36" t="n">
        <f aca="false">(COUNTIF('Clauses 4-10'!$F:$F,"Non-Conformant")+COUNTIF('Annex A Controls'!$H:$H,"Non-Conformant"))+(COUNTIF('Clauses 4-10'!$F:$F,"Partially Conformant")+COUNTIF('Annex A Controls'!$H:$H,"Partially Conformant"))</f>
        <v>0</v>
      </c>
      <c r="E9" s="36"/>
      <c r="F9" s="36" t="n">
        <f aca="false">COUNTIF('Annex A Controls'!$E:$E,"Not Applicable")</f>
        <v>0</v>
      </c>
      <c r="G9" s="36"/>
    </row>
    <row r="10" customFormat="false" ht="15.75" hidden="false" customHeight="true" outlineLevel="0" collapsed="false">
      <c r="B10" s="35" t="s">
        <v>87</v>
      </c>
      <c r="C10" s="35"/>
      <c r="D10" s="35" t="s">
        <v>88</v>
      </c>
      <c r="E10" s="35"/>
      <c r="F10" s="35" t="s">
        <v>89</v>
      </c>
      <c r="G10" s="35"/>
    </row>
    <row r="12" customFormat="false" ht="21.75" hidden="false" customHeight="true" outlineLevel="0" collapsed="false">
      <c r="B12" s="17" t="s">
        <v>90</v>
      </c>
      <c r="C12" s="17"/>
      <c r="D12" s="17"/>
      <c r="E12" s="17"/>
      <c r="F12" s="17"/>
      <c r="G12" s="17"/>
    </row>
    <row r="13" customFormat="false" ht="18" hidden="false" customHeight="true" outlineLevel="0" collapsed="false">
      <c r="B13" s="37" t="s">
        <v>91</v>
      </c>
      <c r="C13" s="38" t="s">
        <v>92</v>
      </c>
      <c r="D13" s="38" t="s">
        <v>93</v>
      </c>
      <c r="E13" s="38" t="s">
        <v>94</v>
      </c>
      <c r="F13" s="38" t="s">
        <v>54</v>
      </c>
      <c r="G13" s="38" t="s">
        <v>95</v>
      </c>
    </row>
    <row r="14" customFormat="false" ht="16.5" hidden="false" customHeight="true" outlineLevel="0" collapsed="false">
      <c r="B14" s="39" t="s">
        <v>96</v>
      </c>
      <c r="C14" s="40" t="n">
        <f aca="false">COUNTIF('Clauses 4-10'!$L:$L,"4")</f>
        <v>4</v>
      </c>
      <c r="D14" s="40" t="n">
        <f aca="false">COUNTIFS('Clauses 4-10'!$L:$L,"4",'Clauses 4-10'!$D:$D,"&gt;=0")</f>
        <v>0</v>
      </c>
      <c r="E14" s="41" t="n">
        <f aca="false">IFERROR(SUMIFS('Clauses 4-10'!$D:$D,'Clauses 4-10'!$L:$L,"4")/COUNTIF('Clauses 4-10'!$L:$L,"4"),0)</f>
        <v>0</v>
      </c>
      <c r="F14" s="42" t="n">
        <f aca="false">IFERROR(SUMIFS('Clauses 4-10'!$D:$D,'Clauses 4-10'!$L:$L,"4")/(4*COUNTIF('Clauses 4-10'!$L:$L,"4")),0)</f>
        <v>0</v>
      </c>
      <c r="G14" s="43" t="str">
        <f aca="false">IF(F14&gt;=0.8,"On track",IF(F14&gt;=0.5,"In progress","At risk"))</f>
        <v>At risk</v>
      </c>
    </row>
    <row r="15" customFormat="false" ht="16.5" hidden="false" customHeight="true" outlineLevel="0" collapsed="false">
      <c r="B15" s="39" t="s">
        <v>97</v>
      </c>
      <c r="C15" s="40" t="n">
        <f aca="false">COUNTIF('Clauses 4-10'!$L:$L,"5")</f>
        <v>3</v>
      </c>
      <c r="D15" s="40" t="n">
        <f aca="false">COUNTIFS('Clauses 4-10'!$L:$L,"5",'Clauses 4-10'!$D:$D,"&gt;=0")</f>
        <v>0</v>
      </c>
      <c r="E15" s="41" t="n">
        <f aca="false">IFERROR(SUMIFS('Clauses 4-10'!$D:$D,'Clauses 4-10'!$L:$L,"5")/COUNTIF('Clauses 4-10'!$L:$L,"5"),0)</f>
        <v>0</v>
      </c>
      <c r="F15" s="42" t="n">
        <f aca="false">IFERROR(SUMIFS('Clauses 4-10'!$D:$D,'Clauses 4-10'!$L:$L,"5")/(4*COUNTIF('Clauses 4-10'!$L:$L,"5")),0)</f>
        <v>0</v>
      </c>
      <c r="G15" s="43" t="str">
        <f aca="false">IF(F15&gt;=0.8,"On track",IF(F15&gt;=0.5,"In progress","At risk"))</f>
        <v>At risk</v>
      </c>
    </row>
    <row r="16" customFormat="false" ht="16.5" hidden="false" customHeight="true" outlineLevel="0" collapsed="false">
      <c r="B16" s="39" t="s">
        <v>98</v>
      </c>
      <c r="C16" s="40" t="n">
        <f aca="false">COUNTIF('Clauses 4-10'!$L:$L,"6")</f>
        <v>6</v>
      </c>
      <c r="D16" s="40" t="n">
        <f aca="false">COUNTIFS('Clauses 4-10'!$L:$L,"6",'Clauses 4-10'!$D:$D,"&gt;=0")</f>
        <v>0</v>
      </c>
      <c r="E16" s="41" t="n">
        <f aca="false">IFERROR(SUMIFS('Clauses 4-10'!$D:$D,'Clauses 4-10'!$L:$L,"6")/COUNTIF('Clauses 4-10'!$L:$L,"6"),0)</f>
        <v>0</v>
      </c>
      <c r="F16" s="42" t="n">
        <f aca="false">IFERROR(SUMIFS('Clauses 4-10'!$D:$D,'Clauses 4-10'!$L:$L,"6")/(4*COUNTIF('Clauses 4-10'!$L:$L,"6")),0)</f>
        <v>0</v>
      </c>
      <c r="G16" s="43" t="str">
        <f aca="false">IF(F16&gt;=0.8,"On track",IF(F16&gt;=0.5,"In progress","At risk"))</f>
        <v>At risk</v>
      </c>
    </row>
    <row r="17" customFormat="false" ht="16.5" hidden="false" customHeight="true" outlineLevel="0" collapsed="false">
      <c r="B17" s="39" t="s">
        <v>99</v>
      </c>
      <c r="C17" s="40" t="n">
        <f aca="false">COUNTIF('Clauses 4-10'!$L:$L,"7")</f>
        <v>7</v>
      </c>
      <c r="D17" s="40" t="n">
        <f aca="false">COUNTIFS('Clauses 4-10'!$L:$L,"7",'Clauses 4-10'!$D:$D,"&gt;=0")</f>
        <v>0</v>
      </c>
      <c r="E17" s="41" t="n">
        <f aca="false">IFERROR(SUMIFS('Clauses 4-10'!$D:$D,'Clauses 4-10'!$L:$L,"7")/COUNTIF('Clauses 4-10'!$L:$L,"7"),0)</f>
        <v>0</v>
      </c>
      <c r="F17" s="42" t="n">
        <f aca="false">IFERROR(SUMIFS('Clauses 4-10'!$D:$D,'Clauses 4-10'!$L:$L,"7")/(4*COUNTIF('Clauses 4-10'!$L:$L,"7")),0)</f>
        <v>0</v>
      </c>
      <c r="G17" s="43" t="str">
        <f aca="false">IF(F17&gt;=0.8,"On track",IF(F17&gt;=0.5,"In progress","At risk"))</f>
        <v>At risk</v>
      </c>
    </row>
    <row r="18" customFormat="false" ht="16.5" hidden="false" customHeight="true" outlineLevel="0" collapsed="false">
      <c r="B18" s="39" t="s">
        <v>100</v>
      </c>
      <c r="C18" s="40" t="n">
        <f aca="false">COUNTIF('Clauses 4-10'!$L:$L,"8")</f>
        <v>4</v>
      </c>
      <c r="D18" s="40" t="n">
        <f aca="false">COUNTIFS('Clauses 4-10'!$L:$L,"8",'Clauses 4-10'!$D:$D,"&gt;=0")</f>
        <v>0</v>
      </c>
      <c r="E18" s="41" t="n">
        <f aca="false">IFERROR(SUMIFS('Clauses 4-10'!$D:$D,'Clauses 4-10'!$L:$L,"8")/COUNTIF('Clauses 4-10'!$L:$L,"8"),0)</f>
        <v>0</v>
      </c>
      <c r="F18" s="42" t="n">
        <f aca="false">IFERROR(SUMIFS('Clauses 4-10'!$D:$D,'Clauses 4-10'!$L:$L,"8")/(4*COUNTIF('Clauses 4-10'!$L:$L,"8")),0)</f>
        <v>0</v>
      </c>
      <c r="G18" s="43" t="str">
        <f aca="false">IF(F18&gt;=0.8,"On track",IF(F18&gt;=0.5,"In progress","At risk"))</f>
        <v>At risk</v>
      </c>
    </row>
    <row r="19" customFormat="false" ht="16.5" hidden="false" customHeight="true" outlineLevel="0" collapsed="false">
      <c r="B19" s="39" t="s">
        <v>101</v>
      </c>
      <c r="C19" s="40" t="n">
        <f aca="false">COUNTIF('Clauses 4-10'!$L:$L,"9")</f>
        <v>6</v>
      </c>
      <c r="D19" s="40" t="n">
        <f aca="false">COUNTIFS('Clauses 4-10'!$L:$L,"9",'Clauses 4-10'!$D:$D,"&gt;=0")</f>
        <v>0</v>
      </c>
      <c r="E19" s="41" t="n">
        <f aca="false">IFERROR(SUMIFS('Clauses 4-10'!$D:$D,'Clauses 4-10'!$L:$L,"9")/COUNTIF('Clauses 4-10'!$L:$L,"9"),0)</f>
        <v>0</v>
      </c>
      <c r="F19" s="42" t="n">
        <f aca="false">IFERROR(SUMIFS('Clauses 4-10'!$D:$D,'Clauses 4-10'!$L:$L,"9")/(4*COUNTIF('Clauses 4-10'!$L:$L,"9")),0)</f>
        <v>0</v>
      </c>
      <c r="G19" s="43" t="str">
        <f aca="false">IF(F19&gt;=0.8,"On track",IF(F19&gt;=0.5,"In progress","At risk"))</f>
        <v>At risk</v>
      </c>
    </row>
    <row r="20" customFormat="false" ht="16.5" hidden="false" customHeight="true" outlineLevel="0" collapsed="false">
      <c r="B20" s="39" t="s">
        <v>102</v>
      </c>
      <c r="C20" s="40" t="n">
        <f aca="false">COUNTIF('Clauses 4-10'!$L:$L,"10")</f>
        <v>2</v>
      </c>
      <c r="D20" s="40" t="n">
        <f aca="false">COUNTIFS('Clauses 4-10'!$L:$L,"10",'Clauses 4-10'!$D:$D,"&gt;=0")</f>
        <v>0</v>
      </c>
      <c r="E20" s="41" t="n">
        <f aca="false">IFERROR(SUMIFS('Clauses 4-10'!$D:$D,'Clauses 4-10'!$L:$L,"10")/COUNTIF('Clauses 4-10'!$L:$L,"10"),0)</f>
        <v>0</v>
      </c>
      <c r="F20" s="42" t="n">
        <f aca="false">IFERROR(SUMIFS('Clauses 4-10'!$D:$D,'Clauses 4-10'!$L:$L,"10")/(4*COUNTIF('Clauses 4-10'!$L:$L,"10")),0)</f>
        <v>0</v>
      </c>
      <c r="G20" s="43" t="str">
        <f aca="false">IF(F20&gt;=0.8,"On track",IF(F20&gt;=0.5,"In progress","At risk"))</f>
        <v>At risk</v>
      </c>
    </row>
    <row r="21" customFormat="false" ht="16.5" hidden="false" customHeight="true" outlineLevel="0" collapsed="false">
      <c r="B21" s="44" t="s">
        <v>103</v>
      </c>
      <c r="C21" s="45" t="n">
        <f aca="false">COUNTIF('Clauses 4-10'!$L:$L,"?*")</f>
        <v>32</v>
      </c>
      <c r="D21" s="45" t="n">
        <f aca="false">COUNTIFS('Clauses 4-10'!$L:$L,"?*",'Clauses 4-10'!$D:$D,"&gt;=0")</f>
        <v>0</v>
      </c>
      <c r="E21" s="46" t="n">
        <f aca="false">IFERROR(SUMIFS('Clauses 4-10'!$D:$D,'Clauses 4-10'!$L:$L,"?*")/COUNTIF('Clauses 4-10'!$L:$L,"?*"),0)</f>
        <v>0</v>
      </c>
      <c r="F21" s="47" t="n">
        <f aca="false">IFERROR(SUMIFS('Clauses 4-10'!$D:$D,'Clauses 4-10'!$L:$L,"?*")/(4*COUNTIF('Clauses 4-10'!$L:$L,"?*")),0)</f>
        <v>0</v>
      </c>
      <c r="G21" s="48" t="str">
        <f aca="false">IF(F21&gt;=0.8,"On track",IF(F21&gt;=0.5,"In progress","At risk"))</f>
        <v>At risk</v>
      </c>
    </row>
    <row r="22" customFormat="false" ht="16.5" hidden="false" customHeight="true" outlineLevel="0" collapsed="false">
      <c r="B22" s="39" t="s">
        <v>104</v>
      </c>
      <c r="C22" s="40" t="n">
        <f aca="false">COUNTIF('Annex A Controls'!$N:$N,"A.2")</f>
        <v>3</v>
      </c>
      <c r="D22" s="40" t="n">
        <f aca="false">COUNTIFS('Annex A Controls'!$N:$N,"A.2",'Annex A Controls'!$E:$E,"Applicable",'Annex A Controls'!$F:$F,"&gt;=0")</f>
        <v>0</v>
      </c>
      <c r="E22" s="41" t="n">
        <f aca="false">IFERROR(SUMIFS('Annex A Controls'!$F:$F,'Annex A Controls'!$N:$N,"A.2",'Annex A Controls'!$E:$E,"Applicable")/COUNTIFS('Annex A Controls'!$N:$N,"A.2",'Annex A Controls'!$E:$E,"Applicable"),0)</f>
        <v>0</v>
      </c>
      <c r="F22" s="42" t="n">
        <f aca="false">IFERROR(SUMIFS('Annex A Controls'!$F:$F,'Annex A Controls'!$N:$N,"A.2",'Annex A Controls'!$E:$E,"Applicable")/(4*COUNTIFS('Annex A Controls'!$N:$N,"A.2",'Annex A Controls'!$E:$E,"Applicable")),0)</f>
        <v>0</v>
      </c>
      <c r="G22" s="43" t="str">
        <f aca="false">IF(F22&gt;=0.8,"On track",IF(F22&gt;=0.5,"In progress","At risk"))</f>
        <v>At risk</v>
      </c>
    </row>
    <row r="23" customFormat="false" ht="16.5" hidden="false" customHeight="true" outlineLevel="0" collapsed="false">
      <c r="B23" s="39" t="s">
        <v>105</v>
      </c>
      <c r="C23" s="40" t="n">
        <f aca="false">COUNTIF('Annex A Controls'!$N:$N,"A.3")</f>
        <v>2</v>
      </c>
      <c r="D23" s="40" t="n">
        <f aca="false">COUNTIFS('Annex A Controls'!$N:$N,"A.3",'Annex A Controls'!$E:$E,"Applicable",'Annex A Controls'!$F:$F,"&gt;=0")</f>
        <v>0</v>
      </c>
      <c r="E23" s="41" t="n">
        <f aca="false">IFERROR(SUMIFS('Annex A Controls'!$F:$F,'Annex A Controls'!$N:$N,"A.3",'Annex A Controls'!$E:$E,"Applicable")/COUNTIFS('Annex A Controls'!$N:$N,"A.3",'Annex A Controls'!$E:$E,"Applicable"),0)</f>
        <v>0</v>
      </c>
      <c r="F23" s="42" t="n">
        <f aca="false">IFERROR(SUMIFS('Annex A Controls'!$F:$F,'Annex A Controls'!$N:$N,"A.3",'Annex A Controls'!$E:$E,"Applicable")/(4*COUNTIFS('Annex A Controls'!$N:$N,"A.3",'Annex A Controls'!$E:$E,"Applicable")),0)</f>
        <v>0</v>
      </c>
      <c r="G23" s="43" t="str">
        <f aca="false">IF(F23&gt;=0.8,"On track",IF(F23&gt;=0.5,"In progress","At risk"))</f>
        <v>At risk</v>
      </c>
    </row>
    <row r="24" customFormat="false" ht="16.5" hidden="false" customHeight="true" outlineLevel="0" collapsed="false">
      <c r="B24" s="39" t="s">
        <v>106</v>
      </c>
      <c r="C24" s="40" t="n">
        <f aca="false">COUNTIF('Annex A Controls'!$N:$N,"A.4")</f>
        <v>5</v>
      </c>
      <c r="D24" s="40" t="n">
        <f aca="false">COUNTIFS('Annex A Controls'!$N:$N,"A.4",'Annex A Controls'!$E:$E,"Applicable",'Annex A Controls'!$F:$F,"&gt;=0")</f>
        <v>0</v>
      </c>
      <c r="E24" s="41" t="n">
        <f aca="false">IFERROR(SUMIFS('Annex A Controls'!$F:$F,'Annex A Controls'!$N:$N,"A.4",'Annex A Controls'!$E:$E,"Applicable")/COUNTIFS('Annex A Controls'!$N:$N,"A.4",'Annex A Controls'!$E:$E,"Applicable"),0)</f>
        <v>0</v>
      </c>
      <c r="F24" s="42" t="n">
        <f aca="false">IFERROR(SUMIFS('Annex A Controls'!$F:$F,'Annex A Controls'!$N:$N,"A.4",'Annex A Controls'!$E:$E,"Applicable")/(4*COUNTIFS('Annex A Controls'!$N:$N,"A.4",'Annex A Controls'!$E:$E,"Applicable")),0)</f>
        <v>0</v>
      </c>
      <c r="G24" s="43" t="str">
        <f aca="false">IF(F24&gt;=0.8,"On track",IF(F24&gt;=0.5,"In progress","At risk"))</f>
        <v>At risk</v>
      </c>
    </row>
    <row r="25" customFormat="false" ht="16.5" hidden="false" customHeight="true" outlineLevel="0" collapsed="false">
      <c r="B25" s="39" t="s">
        <v>107</v>
      </c>
      <c r="C25" s="40" t="n">
        <f aca="false">COUNTIF('Annex A Controls'!$N:$N,"A.5")</f>
        <v>4</v>
      </c>
      <c r="D25" s="40" t="n">
        <f aca="false">COUNTIFS('Annex A Controls'!$N:$N,"A.5",'Annex A Controls'!$E:$E,"Applicable",'Annex A Controls'!$F:$F,"&gt;=0")</f>
        <v>0</v>
      </c>
      <c r="E25" s="41" t="n">
        <f aca="false">IFERROR(SUMIFS('Annex A Controls'!$F:$F,'Annex A Controls'!$N:$N,"A.5",'Annex A Controls'!$E:$E,"Applicable")/COUNTIFS('Annex A Controls'!$N:$N,"A.5",'Annex A Controls'!$E:$E,"Applicable"),0)</f>
        <v>0</v>
      </c>
      <c r="F25" s="42" t="n">
        <f aca="false">IFERROR(SUMIFS('Annex A Controls'!$F:$F,'Annex A Controls'!$N:$N,"A.5",'Annex A Controls'!$E:$E,"Applicable")/(4*COUNTIFS('Annex A Controls'!$N:$N,"A.5",'Annex A Controls'!$E:$E,"Applicable")),0)</f>
        <v>0</v>
      </c>
      <c r="G25" s="43" t="str">
        <f aca="false">IF(F25&gt;=0.8,"On track",IF(F25&gt;=0.5,"In progress","At risk"))</f>
        <v>At risk</v>
      </c>
    </row>
    <row r="26" customFormat="false" ht="16.5" hidden="false" customHeight="true" outlineLevel="0" collapsed="false">
      <c r="B26" s="39" t="s">
        <v>108</v>
      </c>
      <c r="C26" s="40" t="n">
        <f aca="false">COUNTIF('Annex A Controls'!$N:$N,"A.6")</f>
        <v>9</v>
      </c>
      <c r="D26" s="40" t="n">
        <f aca="false">COUNTIFS('Annex A Controls'!$N:$N,"A.6",'Annex A Controls'!$E:$E,"Applicable",'Annex A Controls'!$F:$F,"&gt;=0")</f>
        <v>0</v>
      </c>
      <c r="E26" s="41" t="n">
        <f aca="false">IFERROR(SUMIFS('Annex A Controls'!$F:$F,'Annex A Controls'!$N:$N,"A.6",'Annex A Controls'!$E:$E,"Applicable")/COUNTIFS('Annex A Controls'!$N:$N,"A.6",'Annex A Controls'!$E:$E,"Applicable"),0)</f>
        <v>0</v>
      </c>
      <c r="F26" s="42" t="n">
        <f aca="false">IFERROR(SUMIFS('Annex A Controls'!$F:$F,'Annex A Controls'!$N:$N,"A.6",'Annex A Controls'!$E:$E,"Applicable")/(4*COUNTIFS('Annex A Controls'!$N:$N,"A.6",'Annex A Controls'!$E:$E,"Applicable")),0)</f>
        <v>0</v>
      </c>
      <c r="G26" s="43" t="str">
        <f aca="false">IF(F26&gt;=0.8,"On track",IF(F26&gt;=0.5,"In progress","At risk"))</f>
        <v>At risk</v>
      </c>
    </row>
    <row r="27" customFormat="false" ht="16.5" hidden="false" customHeight="true" outlineLevel="0" collapsed="false">
      <c r="B27" s="39" t="s">
        <v>109</v>
      </c>
      <c r="C27" s="40" t="n">
        <f aca="false">COUNTIF('Annex A Controls'!$N:$N,"A.7")</f>
        <v>5</v>
      </c>
      <c r="D27" s="40" t="n">
        <f aca="false">COUNTIFS('Annex A Controls'!$N:$N,"A.7",'Annex A Controls'!$E:$E,"Applicable",'Annex A Controls'!$F:$F,"&gt;=0")</f>
        <v>0</v>
      </c>
      <c r="E27" s="41" t="n">
        <f aca="false">IFERROR(SUMIFS('Annex A Controls'!$F:$F,'Annex A Controls'!$N:$N,"A.7",'Annex A Controls'!$E:$E,"Applicable")/COUNTIFS('Annex A Controls'!$N:$N,"A.7",'Annex A Controls'!$E:$E,"Applicable"),0)</f>
        <v>0</v>
      </c>
      <c r="F27" s="42" t="n">
        <f aca="false">IFERROR(SUMIFS('Annex A Controls'!$F:$F,'Annex A Controls'!$N:$N,"A.7",'Annex A Controls'!$E:$E,"Applicable")/(4*COUNTIFS('Annex A Controls'!$N:$N,"A.7",'Annex A Controls'!$E:$E,"Applicable")),0)</f>
        <v>0</v>
      </c>
      <c r="G27" s="43" t="str">
        <f aca="false">IF(F27&gt;=0.8,"On track",IF(F27&gt;=0.5,"In progress","At risk"))</f>
        <v>At risk</v>
      </c>
    </row>
    <row r="28" customFormat="false" ht="16.5" hidden="false" customHeight="true" outlineLevel="0" collapsed="false">
      <c r="B28" s="39" t="s">
        <v>110</v>
      </c>
      <c r="C28" s="40" t="n">
        <f aca="false">COUNTIF('Annex A Controls'!$N:$N,"A.8")</f>
        <v>4</v>
      </c>
      <c r="D28" s="40" t="n">
        <f aca="false">COUNTIFS('Annex A Controls'!$N:$N,"A.8",'Annex A Controls'!$E:$E,"Applicable",'Annex A Controls'!$F:$F,"&gt;=0")</f>
        <v>0</v>
      </c>
      <c r="E28" s="41" t="n">
        <f aca="false">IFERROR(SUMIFS('Annex A Controls'!$F:$F,'Annex A Controls'!$N:$N,"A.8",'Annex A Controls'!$E:$E,"Applicable")/COUNTIFS('Annex A Controls'!$N:$N,"A.8",'Annex A Controls'!$E:$E,"Applicable"),0)</f>
        <v>0</v>
      </c>
      <c r="F28" s="42" t="n">
        <f aca="false">IFERROR(SUMIFS('Annex A Controls'!$F:$F,'Annex A Controls'!$N:$N,"A.8",'Annex A Controls'!$E:$E,"Applicable")/(4*COUNTIFS('Annex A Controls'!$N:$N,"A.8",'Annex A Controls'!$E:$E,"Applicable")),0)</f>
        <v>0</v>
      </c>
      <c r="G28" s="43" t="str">
        <f aca="false">IF(F28&gt;=0.8,"On track",IF(F28&gt;=0.5,"In progress","At risk"))</f>
        <v>At risk</v>
      </c>
    </row>
    <row r="29" customFormat="false" ht="16.5" hidden="false" customHeight="true" outlineLevel="0" collapsed="false">
      <c r="B29" s="39" t="s">
        <v>111</v>
      </c>
      <c r="C29" s="40" t="n">
        <f aca="false">COUNTIF('Annex A Controls'!$N:$N,"A.9")</f>
        <v>3</v>
      </c>
      <c r="D29" s="40" t="n">
        <f aca="false">COUNTIFS('Annex A Controls'!$N:$N,"A.9",'Annex A Controls'!$E:$E,"Applicable",'Annex A Controls'!$F:$F,"&gt;=0")</f>
        <v>0</v>
      </c>
      <c r="E29" s="41" t="n">
        <f aca="false">IFERROR(SUMIFS('Annex A Controls'!$F:$F,'Annex A Controls'!$N:$N,"A.9",'Annex A Controls'!$E:$E,"Applicable")/COUNTIFS('Annex A Controls'!$N:$N,"A.9",'Annex A Controls'!$E:$E,"Applicable"),0)</f>
        <v>0</v>
      </c>
      <c r="F29" s="42" t="n">
        <f aca="false">IFERROR(SUMIFS('Annex A Controls'!$F:$F,'Annex A Controls'!$N:$N,"A.9",'Annex A Controls'!$E:$E,"Applicable")/(4*COUNTIFS('Annex A Controls'!$N:$N,"A.9",'Annex A Controls'!$E:$E,"Applicable")),0)</f>
        <v>0</v>
      </c>
      <c r="G29" s="43" t="str">
        <f aca="false">IF(F29&gt;=0.8,"On track",IF(F29&gt;=0.5,"In progress","At risk"))</f>
        <v>At risk</v>
      </c>
    </row>
    <row r="30" customFormat="false" ht="16.5" hidden="false" customHeight="true" outlineLevel="0" collapsed="false">
      <c r="B30" s="39" t="s">
        <v>112</v>
      </c>
      <c r="C30" s="40" t="n">
        <f aca="false">COUNTIF('Annex A Controls'!$N:$N,"A.10")</f>
        <v>3</v>
      </c>
      <c r="D30" s="40" t="n">
        <f aca="false">COUNTIFS('Annex A Controls'!$N:$N,"A.10",'Annex A Controls'!$E:$E,"Applicable",'Annex A Controls'!$F:$F,"&gt;=0")</f>
        <v>0</v>
      </c>
      <c r="E30" s="41" t="n">
        <f aca="false">IFERROR(SUMIFS('Annex A Controls'!$F:$F,'Annex A Controls'!$N:$N,"A.10",'Annex A Controls'!$E:$E,"Applicable")/COUNTIFS('Annex A Controls'!$N:$N,"A.10",'Annex A Controls'!$E:$E,"Applicable"),0)</f>
        <v>0</v>
      </c>
      <c r="F30" s="42" t="n">
        <f aca="false">IFERROR(SUMIFS('Annex A Controls'!$F:$F,'Annex A Controls'!$N:$N,"A.10",'Annex A Controls'!$E:$E,"Applicable")/(4*COUNTIFS('Annex A Controls'!$N:$N,"A.10",'Annex A Controls'!$E:$E,"Applicable")),0)</f>
        <v>0</v>
      </c>
      <c r="G30" s="43" t="str">
        <f aca="false">IF(F30&gt;=0.8,"On track",IF(F30&gt;=0.5,"In progress","At risk"))</f>
        <v>At risk</v>
      </c>
    </row>
    <row r="31" customFormat="false" ht="16.5" hidden="false" customHeight="true" outlineLevel="0" collapsed="false">
      <c r="B31" s="44" t="s">
        <v>113</v>
      </c>
      <c r="C31" s="45" t="n">
        <f aca="false">COUNTIF('Annex A Controls'!$N:$N,"?*")</f>
        <v>38</v>
      </c>
      <c r="D31" s="45" t="n">
        <f aca="false">COUNTIFS('Annex A Controls'!$E:$E,"Applicable",'Annex A Controls'!$F:$F,"&gt;=0")</f>
        <v>0</v>
      </c>
      <c r="E31" s="46" t="n">
        <f aca="false">IFERROR(SUMIFS('Annex A Controls'!$F:$F,'Annex A Controls'!$E:$E,"Applicable")/COUNTIF('Annex A Controls'!$E:$E,"Applicable"),0)</f>
        <v>0</v>
      </c>
      <c r="F31" s="47" t="n">
        <f aca="false">IFERROR(SUMIFS('Annex A Controls'!$F:$F,'Annex A Controls'!$E:$E,"Applicable")/(4*COUNTIF('Annex A Controls'!$E:$E,"Applicable")),0)</f>
        <v>0</v>
      </c>
      <c r="G31" s="48" t="str">
        <f aca="false">IF(F31&gt;=0.8,"On track",IF(F31&gt;=0.5,"In progress","At risk"))</f>
        <v>At risk</v>
      </c>
    </row>
    <row r="32" customFormat="false" ht="16.5" hidden="false" customHeight="true" outlineLevel="0" collapsed="false">
      <c r="B32" s="44" t="s">
        <v>114</v>
      </c>
      <c r="C32" s="45" t="n">
        <f aca="false">(COUNTIF('Clauses 4-10'!$L:$L,"?*")+COUNTIF('Annex A Controls'!$E:$E,"Applicable"))+COUNTIF('Annex A Controls'!$E:$E,"Not Applicable")</f>
        <v>70</v>
      </c>
      <c r="D32" s="45" t="n">
        <f aca="false">(COUNTIFS('Clauses 4-10'!$L:$L,"?*",'Clauses 4-10'!$D:$D,"&gt;=0")+COUNTIFS('Annex A Controls'!$E:$E,"Applicable",'Annex A Controls'!$F:$F,"&gt;=0"))</f>
        <v>0</v>
      </c>
      <c r="E32" s="46" t="n">
        <f aca="false">IFERROR((SUMIFS('Clauses 4-10'!$D:$D,'Clauses 4-10'!$L:$L,"?*")+SUMIFS('Annex A Controls'!$F:$F,'Annex A Controls'!$E:$E,"Applicable"))/(COUNTIF('Clauses 4-10'!$L:$L,"?*")+COUNTIF('Annex A Controls'!$E:$E,"Applicable")),0)</f>
        <v>0</v>
      </c>
      <c r="F32" s="47" t="n">
        <f aca="false">IFERROR((SUMIFS('Clauses 4-10'!$D:$D,'Clauses 4-10'!$L:$L,"?*")+SUMIFS('Annex A Controls'!$F:$F,'Annex A Controls'!$E:$E,"Applicable"))/(4*(COUNTIF('Clauses 4-10'!$L:$L,"?*")+COUNTIF('Annex A Controls'!$E:$E,"Applicable"))),0)</f>
        <v>0</v>
      </c>
      <c r="G32" s="48" t="str">
        <f aca="false">IF(F32&gt;=0.8,"On track",IF(F32&gt;=0.5,"In progress","At risk"))</f>
        <v>At risk</v>
      </c>
    </row>
    <row r="34" customFormat="false" ht="19.5" hidden="false" customHeight="true" outlineLevel="0" collapsed="false">
      <c r="B34" s="49" t="s">
        <v>115</v>
      </c>
      <c r="C34" s="49"/>
      <c r="D34" s="49"/>
      <c r="E34" s="49" t="s">
        <v>116</v>
      </c>
      <c r="F34" s="49"/>
      <c r="G34" s="49"/>
    </row>
    <row r="35" customFormat="false" ht="15.75" hidden="false" customHeight="true" outlineLevel="0" collapsed="false">
      <c r="B35" s="50" t="s">
        <v>52</v>
      </c>
      <c r="C35" s="51" t="s">
        <v>117</v>
      </c>
      <c r="D35" s="51" t="s">
        <v>118</v>
      </c>
      <c r="E35" s="50" t="s">
        <v>119</v>
      </c>
      <c r="F35" s="51" t="s">
        <v>117</v>
      </c>
      <c r="G35" s="51" t="s">
        <v>118</v>
      </c>
    </row>
    <row r="36" customFormat="false" ht="15.75" hidden="false" customHeight="true" outlineLevel="0" collapsed="false">
      <c r="B36" s="52" t="s">
        <v>68</v>
      </c>
      <c r="C36" s="53" t="n">
        <f aca="false">(COUNTIF('Clauses 4-10'!$F:$F,"Fully Conformant")+COUNTIF('Annex A Controls'!$H:$H,"Fully Conformant"))</f>
        <v>0</v>
      </c>
      <c r="D36" s="54" t="n">
        <f aca="false">IFERROR((COUNTIF('Clauses 4-10'!$F:$F,"Fully Conformant")+COUNTIF('Annex A Controls'!$H:$H,"Fully Conformant"))/((COUNTIF('Clauses 4-10'!$L:$L,"?*")+COUNTIF('Annex A Controls'!$E:$E,"Applicable"))+COUNTIF('Annex A Controls'!$E:$E,"Not Applicable")),0)</f>
        <v>0</v>
      </c>
      <c r="E36" s="55" t="s">
        <v>120</v>
      </c>
      <c r="F36" s="53" t="n">
        <f aca="false">(COUNTIF('Clauses 4-10'!$D:$D,0)+COUNTIFS('Annex A Controls'!$F:$F,0,'Annex A Controls'!$E:$E,"Applicable"))</f>
        <v>0</v>
      </c>
      <c r="G36" s="54" t="n">
        <f aca="false">IFERROR((COUNTIF('Clauses 4-10'!$D:$D,0)+COUNTIFS('Annex A Controls'!$F:$F,0,'Annex A Controls'!$E:$E,"Applicable"))/(COUNTIF('Clauses 4-10'!$L:$L,"?*")+COUNTIF('Annex A Controls'!$E:$E,"Applicable")),0)</f>
        <v>0</v>
      </c>
    </row>
    <row r="37" customFormat="false" ht="15.75" hidden="false" customHeight="true" outlineLevel="0" collapsed="false">
      <c r="B37" s="56" t="s">
        <v>65</v>
      </c>
      <c r="C37" s="53" t="n">
        <f aca="false">(COUNTIF('Clauses 4-10'!$F:$F,"Largely Conformant")+COUNTIF('Annex A Controls'!$H:$H,"Largely Conformant"))</f>
        <v>0</v>
      </c>
      <c r="D37" s="54" t="n">
        <f aca="false">IFERROR((COUNTIF('Clauses 4-10'!$F:$F,"Largely Conformant")+COUNTIF('Annex A Controls'!$H:$H,"Largely Conformant"))/((COUNTIF('Clauses 4-10'!$L:$L,"?*")+COUNTIF('Annex A Controls'!$E:$E,"Applicable"))+COUNTIF('Annex A Controls'!$E:$E,"Not Applicable")),0)</f>
        <v>0</v>
      </c>
      <c r="E37" s="55" t="s">
        <v>121</v>
      </c>
      <c r="F37" s="53" t="n">
        <f aca="false">(COUNTIF('Clauses 4-10'!$D:$D,1)+COUNTIFS('Annex A Controls'!$F:$F,1,'Annex A Controls'!$E:$E,"Applicable"))</f>
        <v>0</v>
      </c>
      <c r="G37" s="54" t="n">
        <f aca="false">IFERROR((COUNTIF('Clauses 4-10'!$D:$D,1)+COUNTIFS('Annex A Controls'!$F:$F,1,'Annex A Controls'!$E:$E,"Applicable"))/(COUNTIF('Clauses 4-10'!$L:$L,"?*")+COUNTIF('Annex A Controls'!$E:$E,"Applicable")),0)</f>
        <v>0</v>
      </c>
    </row>
    <row r="38" customFormat="false" ht="15.75" hidden="false" customHeight="true" outlineLevel="0" collapsed="false">
      <c r="B38" s="57" t="s">
        <v>62</v>
      </c>
      <c r="C38" s="53" t="n">
        <f aca="false">(COUNTIF('Clauses 4-10'!$F:$F,"Partially Conformant")+COUNTIF('Annex A Controls'!$H:$H,"Partially Conformant"))</f>
        <v>0</v>
      </c>
      <c r="D38" s="54" t="n">
        <f aca="false">IFERROR((COUNTIF('Clauses 4-10'!$F:$F,"Partially Conformant")+COUNTIF('Annex A Controls'!$H:$H,"Partially Conformant"))/((COUNTIF('Clauses 4-10'!$L:$L,"?*")+COUNTIF('Annex A Controls'!$E:$E,"Applicable"))+COUNTIF('Annex A Controls'!$E:$E,"Not Applicable")),0)</f>
        <v>0</v>
      </c>
      <c r="E38" s="55" t="s">
        <v>122</v>
      </c>
      <c r="F38" s="53" t="n">
        <f aca="false">(COUNTIF('Clauses 4-10'!$D:$D,2)+COUNTIFS('Annex A Controls'!$F:$F,2,'Annex A Controls'!$E:$E,"Applicable"))</f>
        <v>0</v>
      </c>
      <c r="G38" s="54" t="n">
        <f aca="false">IFERROR((COUNTIF('Clauses 4-10'!$D:$D,2)+COUNTIFS('Annex A Controls'!$F:$F,2,'Annex A Controls'!$E:$E,"Applicable"))/(COUNTIF('Clauses 4-10'!$L:$L,"?*")+COUNTIF('Annex A Controls'!$E:$E,"Applicable")),0)</f>
        <v>0</v>
      </c>
    </row>
    <row r="39" customFormat="false" ht="15.75" hidden="false" customHeight="true" outlineLevel="0" collapsed="false">
      <c r="B39" s="58" t="s">
        <v>57</v>
      </c>
      <c r="C39" s="53" t="n">
        <f aca="false">(COUNTIF('Clauses 4-10'!$F:$F,"Non-Conformant")+COUNTIF('Annex A Controls'!$H:$H,"Non-Conformant"))</f>
        <v>0</v>
      </c>
      <c r="D39" s="54" t="n">
        <f aca="false">IFERROR((COUNTIF('Clauses 4-10'!$F:$F,"Non-Conformant")+COUNTIF('Annex A Controls'!$H:$H,"Non-Conformant"))/((COUNTIF('Clauses 4-10'!$L:$L,"?*")+COUNTIF('Annex A Controls'!$E:$E,"Applicable"))+COUNTIF('Annex A Controls'!$E:$E,"Not Applicable")),0)</f>
        <v>0</v>
      </c>
      <c r="E39" s="55" t="s">
        <v>123</v>
      </c>
      <c r="F39" s="53" t="n">
        <f aca="false">(COUNTIF('Clauses 4-10'!$D:$D,3)+COUNTIFS('Annex A Controls'!$F:$F,3,'Annex A Controls'!$E:$E,"Applicable"))</f>
        <v>0</v>
      </c>
      <c r="G39" s="54" t="n">
        <f aca="false">IFERROR((COUNTIF('Clauses 4-10'!$D:$D,3)+COUNTIFS('Annex A Controls'!$F:$F,3,'Annex A Controls'!$E:$E,"Applicable"))/(COUNTIF('Clauses 4-10'!$L:$L,"?*")+COUNTIF('Annex A Controls'!$E:$E,"Applicable")),0)</f>
        <v>0</v>
      </c>
    </row>
    <row r="40" customFormat="false" ht="15.75" hidden="false" customHeight="true" outlineLevel="0" collapsed="false">
      <c r="B40" s="59" t="s">
        <v>124</v>
      </c>
      <c r="C40" s="53" t="n">
        <f aca="false">(COUNTIF('Clauses 4-10'!$F:$F,"Not Started")+COUNTIF('Annex A Controls'!$H:$H,"Not Started"))</f>
        <v>70</v>
      </c>
      <c r="D40" s="54" t="n">
        <f aca="false">IFERROR((COUNTIF('Clauses 4-10'!$F:$F,"Not Started")+COUNTIF('Annex A Controls'!$H:$H,"Not Started"))/((COUNTIF('Clauses 4-10'!$L:$L,"?*")+COUNTIF('Annex A Controls'!$E:$E,"Applicable"))+COUNTIF('Annex A Controls'!$E:$E,"Not Applicable")),0)</f>
        <v>1</v>
      </c>
      <c r="E40" s="55" t="s">
        <v>125</v>
      </c>
      <c r="F40" s="53" t="n">
        <f aca="false">(COUNTIF('Clauses 4-10'!$D:$D,4)+COUNTIFS('Annex A Controls'!$F:$F,4,'Annex A Controls'!$E:$E,"Applicable"))</f>
        <v>0</v>
      </c>
      <c r="G40" s="54" t="n">
        <f aca="false">IFERROR((COUNTIF('Clauses 4-10'!$D:$D,4)+COUNTIFS('Annex A Controls'!$F:$F,4,'Annex A Controls'!$E:$E,"Applicable"))/(COUNTIF('Clauses 4-10'!$L:$L,"?*")+COUNTIF('Annex A Controls'!$E:$E,"Applicable")),0)</f>
        <v>0</v>
      </c>
    </row>
    <row r="41" customFormat="false" ht="15.75" hidden="false" customHeight="true" outlineLevel="0" collapsed="false">
      <c r="B41" s="60" t="s">
        <v>126</v>
      </c>
      <c r="C41" s="53" t="n">
        <f aca="false">(COUNTIF('Clauses 4-10'!$F:$F,"Not Applicable")+COUNTIF('Annex A Controls'!$H:$H,"Not Applicable"))</f>
        <v>0</v>
      </c>
      <c r="D41" s="54" t="n">
        <f aca="false">IFERROR((COUNTIF('Clauses 4-10'!$F:$F,"Not Applicable")+COUNTIF('Annex A Controls'!$H:$H,"Not Applicable"))/((COUNTIF('Clauses 4-10'!$L:$L,"?*")+COUNTIF('Annex A Controls'!$E:$E,"Applicable"))+COUNTIF('Annex A Controls'!$E:$E,"Not Applicable")),0)</f>
        <v>0</v>
      </c>
      <c r="E41" s="61"/>
      <c r="F41" s="61"/>
      <c r="G41" s="61"/>
    </row>
    <row r="43" customFormat="false" ht="15" hidden="false" customHeight="false" outlineLevel="0" collapsed="false">
      <c r="B43" s="62" t="s">
        <v>127</v>
      </c>
      <c r="C43" s="62"/>
      <c r="D43" s="62"/>
      <c r="E43" s="62"/>
      <c r="F43" s="62"/>
      <c r="G43" s="62"/>
    </row>
  </sheetData>
  <mergeCells count="24">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34:D34"/>
    <mergeCell ref="E34:G34"/>
    <mergeCell ref="B43:G43"/>
  </mergeCells>
  <conditionalFormatting sqref="F14:F32">
    <cfRule type="colorScale" priority="2">
      <colorScale>
        <cfvo type="num" val="0"/>
        <cfvo type="num" val="0.5"/>
        <cfvo type="num" val="1"/>
        <color rgb="FFF3B4B4"/>
        <color rgb="FFF6DA9B"/>
        <color rgb="FFADD9B4"/>
      </colorScale>
    </cfRule>
  </conditionalFormatting>
  <conditionalFormatting sqref="G14:G32">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36:C41">
    <cfRule type="dataBar" priority="6">
      <dataBar showValue="1" minLength="10" maxLength="90">
        <cfvo type="num" val="0"/>
        <cfvo type="num" val="70"/>
        <color rgb="FFC4943E"/>
      </dataBar>
      <extLst>
        <ext xmlns:x14="http://schemas.microsoft.com/office/spreadsheetml/2009/9/main" uri="{B025F937-C7B1-47D3-B67F-A62EFF666E3E}">
          <x14:id>{EED88678-46E0-4FC7-BF80-E02B98C1526F}</x14:id>
        </ext>
      </extLst>
    </cfRule>
  </conditionalFormatting>
  <conditionalFormatting sqref="F36:F40">
    <cfRule type="dataBar" priority="7">
      <dataBar showValue="1" minLength="10" maxLength="90">
        <cfvo type="num" val="0"/>
        <cfvo type="num" val="70"/>
        <color rgb="FF1E3D5C"/>
      </dataBar>
      <extLst>
        <ext xmlns:x14="http://schemas.microsoft.com/office/spreadsheetml/2009/9/main" uri="{B025F937-C7B1-47D3-B67F-A62EFF666E3E}">
          <x14:id>{ED73AB37-C120-44F2-906C-E181E38765BA}</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EED88678-46E0-4FC7-BF80-E02B98C1526F}">
            <x14:dataBar minLength="10" maxLength="90" axisPosition="none" gradient="true">
              <x14:cfvo type="num">
                <xm:f>0</xm:f>
              </x14:cfvo>
              <x14:cfvo type="num">
                <xm:f>70</xm:f>
              </x14:cfvo>
              <x14:negativeFillColor rgb="FFC4943E"/>
              <x14:axisColor rgb="FF000000"/>
            </x14:dataBar>
          </x14:cfRule>
          <xm:sqref>C36:C41</xm:sqref>
        </x14:conditionalFormatting>
        <x14:conditionalFormatting xmlns:xm="http://schemas.microsoft.com/office/excel/2006/main">
          <x14:cfRule type="dataBar" id="{ED73AB37-C120-44F2-906C-E181E38765BA}">
            <x14:dataBar minLength="10" maxLength="90" axisPosition="none" gradient="true">
              <x14:cfvo type="num">
                <xm:f>0</xm:f>
              </x14:cfvo>
              <x14:cfvo type="num">
                <xm:f>70</xm:f>
              </x14:cfvo>
              <x14:negativeFillColor rgb="FF1E3D5C"/>
              <x14:axisColor rgb="FF000000"/>
            </x14:dataBar>
          </x14:cfRule>
          <xm:sqref>F36:F40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L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8"/>
    <col collapsed="false" customWidth="true" hidden="false" outlineLevel="0" max="4" min="4" style="0" width="10"/>
    <col collapsed="false" customWidth="true" hidden="false" outlineLevel="0" max="5" min="5" style="0" width="18"/>
    <col collapsed="false" customWidth="true" hidden="false" outlineLevel="0" max="6" min="6" style="0" width="20"/>
    <col collapsed="false" customWidth="true" hidden="false" outlineLevel="0" max="7" min="7" style="0" width="8"/>
    <col collapsed="false" customWidth="true" hidden="false" outlineLevel="0" max="9" min="8" style="0" width="32"/>
    <col collapsed="false" customWidth="true" hidden="false" outlineLevel="0" max="10" min="10" style="0" width="16"/>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128</v>
      </c>
      <c r="B1" s="15"/>
      <c r="C1" s="15"/>
      <c r="D1" s="15"/>
      <c r="E1" s="15"/>
      <c r="F1" s="15"/>
      <c r="G1" s="15"/>
      <c r="H1" s="15"/>
      <c r="I1" s="15"/>
      <c r="J1" s="15"/>
      <c r="K1" s="15"/>
    </row>
    <row r="2" customFormat="false" ht="19.5" hidden="false" customHeight="true" outlineLevel="0" collapsed="false">
      <c r="A2" s="16" t="s">
        <v>129</v>
      </c>
      <c r="B2" s="16"/>
      <c r="C2" s="16"/>
      <c r="D2" s="16"/>
      <c r="E2" s="16"/>
      <c r="F2" s="16"/>
      <c r="G2" s="16"/>
      <c r="H2" s="16"/>
      <c r="I2" s="16"/>
      <c r="J2" s="16"/>
      <c r="K2" s="16"/>
    </row>
    <row r="3" customFormat="false" ht="30" hidden="false" customHeight="true" outlineLevel="0" collapsed="false">
      <c r="A3" s="63" t="s">
        <v>130</v>
      </c>
      <c r="B3" s="63" t="s">
        <v>131</v>
      </c>
      <c r="C3" s="63" t="s">
        <v>132</v>
      </c>
      <c r="D3" s="63" t="s">
        <v>133</v>
      </c>
      <c r="E3" s="63" t="s">
        <v>134</v>
      </c>
      <c r="F3" s="63" t="s">
        <v>135</v>
      </c>
      <c r="G3" s="63" t="s">
        <v>136</v>
      </c>
      <c r="H3" s="63" t="s">
        <v>41</v>
      </c>
      <c r="I3" s="63" t="s">
        <v>43</v>
      </c>
      <c r="J3" s="63" t="s">
        <v>45</v>
      </c>
      <c r="K3" s="63" t="s">
        <v>47</v>
      </c>
    </row>
    <row r="4" customFormat="false" ht="19.5" hidden="false" customHeight="true" outlineLevel="0" collapsed="false">
      <c r="A4" s="64" t="s">
        <v>96</v>
      </c>
      <c r="B4" s="64"/>
      <c r="C4" s="64"/>
      <c r="D4" s="64"/>
      <c r="E4" s="64"/>
      <c r="F4" s="64"/>
      <c r="G4" s="64"/>
      <c r="H4" s="64"/>
      <c r="I4" s="64"/>
      <c r="J4" s="64"/>
      <c r="K4" s="64"/>
    </row>
    <row r="5" customFormat="false" ht="72.75" hidden="false" customHeight="true" outlineLevel="0" collapsed="false">
      <c r="A5" s="65" t="s">
        <v>137</v>
      </c>
      <c r="B5" s="65" t="s">
        <v>138</v>
      </c>
      <c r="C5" s="66" t="s">
        <v>139</v>
      </c>
      <c r="D5" s="67"/>
      <c r="E5" s="68" t="str">
        <f aca="false">IF(D5="","",IFERROR(INDEX(Lists!$B$2:$B$6,MATCH(D5,Lists!$A$2:$A$6,0)),""))</f>
        <v/>
      </c>
      <c r="F5" s="69" t="str">
        <f aca="false">IF(D5="","Not Started",IFERROR(INDEX(Lists!$C$2:$C$6,MATCH(D5,Lists!$A$2:$A$6,0)),""))</f>
        <v>Not Started</v>
      </c>
      <c r="G5" s="70" t="str">
        <f aca="false">IF(D5="","",D5/4)</f>
        <v/>
      </c>
      <c r="H5" s="71"/>
      <c r="I5" s="71"/>
      <c r="J5" s="71"/>
      <c r="K5" s="72"/>
      <c r="L5" s="73" t="s">
        <v>140</v>
      </c>
    </row>
    <row r="6" customFormat="false" ht="60" hidden="false" customHeight="true" outlineLevel="0" collapsed="false">
      <c r="A6" s="65" t="s">
        <v>141</v>
      </c>
      <c r="B6" s="65" t="s">
        <v>142</v>
      </c>
      <c r="C6" s="66" t="s">
        <v>143</v>
      </c>
      <c r="D6" s="67"/>
      <c r="E6" s="68" t="str">
        <f aca="false">IF(D6="","",IFERROR(INDEX(Lists!$B$2:$B$6,MATCH(D6,Lists!$A$2:$A$6,0)),""))</f>
        <v/>
      </c>
      <c r="F6" s="69" t="str">
        <f aca="false">IF(D6="","Not Started",IFERROR(INDEX(Lists!$C$2:$C$6,MATCH(D6,Lists!$A$2:$A$6,0)),""))</f>
        <v>Not Started</v>
      </c>
      <c r="G6" s="70" t="str">
        <f aca="false">IF(D6="","",D6/4)</f>
        <v/>
      </c>
      <c r="H6" s="71"/>
      <c r="I6" s="71"/>
      <c r="J6" s="71"/>
      <c r="K6" s="72"/>
      <c r="L6" s="73" t="s">
        <v>140</v>
      </c>
    </row>
    <row r="7" customFormat="false" ht="60" hidden="false" customHeight="true" outlineLevel="0" collapsed="false">
      <c r="A7" s="65" t="s">
        <v>144</v>
      </c>
      <c r="B7" s="65" t="s">
        <v>145</v>
      </c>
      <c r="C7" s="66" t="s">
        <v>146</v>
      </c>
      <c r="D7" s="67"/>
      <c r="E7" s="68" t="str">
        <f aca="false">IF(D7="","",IFERROR(INDEX(Lists!$B$2:$B$6,MATCH(D7,Lists!$A$2:$A$6,0)),""))</f>
        <v/>
      </c>
      <c r="F7" s="69" t="str">
        <f aca="false">IF(D7="","Not Started",IFERROR(INDEX(Lists!$C$2:$C$6,MATCH(D7,Lists!$A$2:$A$6,0)),""))</f>
        <v>Not Started</v>
      </c>
      <c r="G7" s="70" t="str">
        <f aca="false">IF(D7="","",D7/4)</f>
        <v/>
      </c>
      <c r="H7" s="71"/>
      <c r="I7" s="71"/>
      <c r="J7" s="71"/>
      <c r="K7" s="72"/>
      <c r="L7" s="73" t="s">
        <v>140</v>
      </c>
    </row>
    <row r="8" customFormat="false" ht="60" hidden="false" customHeight="true" outlineLevel="0" collapsed="false">
      <c r="A8" s="65" t="s">
        <v>147</v>
      </c>
      <c r="B8" s="65" t="s">
        <v>148</v>
      </c>
      <c r="C8" s="66" t="s">
        <v>149</v>
      </c>
      <c r="D8" s="67"/>
      <c r="E8" s="68" t="str">
        <f aca="false">IF(D8="","",IFERROR(INDEX(Lists!$B$2:$B$6,MATCH(D8,Lists!$A$2:$A$6,0)),""))</f>
        <v/>
      </c>
      <c r="F8" s="69" t="str">
        <f aca="false">IF(D8="","Not Started",IFERROR(INDEX(Lists!$C$2:$C$6,MATCH(D8,Lists!$A$2:$A$6,0)),""))</f>
        <v>Not Started</v>
      </c>
      <c r="G8" s="70" t="str">
        <f aca="false">IF(D8="","",D8/4)</f>
        <v/>
      </c>
      <c r="H8" s="71"/>
      <c r="I8" s="71"/>
      <c r="J8" s="71"/>
      <c r="K8" s="72"/>
      <c r="L8" s="73" t="s">
        <v>140</v>
      </c>
    </row>
    <row r="9" customFormat="false" ht="19.5" hidden="false" customHeight="true" outlineLevel="0" collapsed="false">
      <c r="A9" s="64" t="s">
        <v>97</v>
      </c>
      <c r="B9" s="64"/>
      <c r="C9" s="64"/>
      <c r="D9" s="64"/>
      <c r="E9" s="64"/>
      <c r="F9" s="64"/>
      <c r="G9" s="64"/>
      <c r="H9" s="64"/>
      <c r="I9" s="64"/>
      <c r="J9" s="64"/>
      <c r="K9" s="64"/>
    </row>
    <row r="10" customFormat="false" ht="85.5" hidden="false" customHeight="true" outlineLevel="0" collapsed="false">
      <c r="A10" s="65" t="s">
        <v>150</v>
      </c>
      <c r="B10" s="65" t="s">
        <v>151</v>
      </c>
      <c r="C10" s="66" t="s">
        <v>152</v>
      </c>
      <c r="D10" s="67"/>
      <c r="E10" s="68" t="str">
        <f aca="false">IF(D10="","",IFERROR(INDEX(Lists!$B$2:$B$6,MATCH(D10,Lists!$A$2:$A$6,0)),""))</f>
        <v/>
      </c>
      <c r="F10" s="69" t="str">
        <f aca="false">IF(D10="","Not Started",IFERROR(INDEX(Lists!$C$2:$C$6,MATCH(D10,Lists!$A$2:$A$6,0)),""))</f>
        <v>Not Started</v>
      </c>
      <c r="G10" s="70" t="str">
        <f aca="false">IF(D10="","",D10/4)</f>
        <v/>
      </c>
      <c r="H10" s="71"/>
      <c r="I10" s="71"/>
      <c r="J10" s="71"/>
      <c r="K10" s="72"/>
      <c r="L10" s="73" t="s">
        <v>153</v>
      </c>
    </row>
    <row r="11" customFormat="false" ht="85.5" hidden="false" customHeight="true" outlineLevel="0" collapsed="false">
      <c r="A11" s="65" t="s">
        <v>154</v>
      </c>
      <c r="B11" s="65" t="s">
        <v>155</v>
      </c>
      <c r="C11" s="66" t="s">
        <v>156</v>
      </c>
      <c r="D11" s="67"/>
      <c r="E11" s="68" t="str">
        <f aca="false">IF(D11="","",IFERROR(INDEX(Lists!$B$2:$B$6,MATCH(D11,Lists!$A$2:$A$6,0)),""))</f>
        <v/>
      </c>
      <c r="F11" s="69" t="str">
        <f aca="false">IF(D11="","Not Started",IFERROR(INDEX(Lists!$C$2:$C$6,MATCH(D11,Lists!$A$2:$A$6,0)),""))</f>
        <v>Not Started</v>
      </c>
      <c r="G11" s="70" t="str">
        <f aca="false">IF(D11="","",D11/4)</f>
        <v/>
      </c>
      <c r="H11" s="71"/>
      <c r="I11" s="71"/>
      <c r="J11" s="71"/>
      <c r="K11" s="72"/>
      <c r="L11" s="73" t="s">
        <v>153</v>
      </c>
    </row>
    <row r="12" customFormat="false" ht="60" hidden="false" customHeight="true" outlineLevel="0" collapsed="false">
      <c r="A12" s="65" t="s">
        <v>157</v>
      </c>
      <c r="B12" s="65" t="s">
        <v>158</v>
      </c>
      <c r="C12" s="66" t="s">
        <v>159</v>
      </c>
      <c r="D12" s="67"/>
      <c r="E12" s="68" t="str">
        <f aca="false">IF(D12="","",IFERROR(INDEX(Lists!$B$2:$B$6,MATCH(D12,Lists!$A$2:$A$6,0)),""))</f>
        <v/>
      </c>
      <c r="F12" s="69" t="str">
        <f aca="false">IF(D12="","Not Started",IFERROR(INDEX(Lists!$C$2:$C$6,MATCH(D12,Lists!$A$2:$A$6,0)),""))</f>
        <v>Not Started</v>
      </c>
      <c r="G12" s="70" t="str">
        <f aca="false">IF(D12="","",D12/4)</f>
        <v/>
      </c>
      <c r="H12" s="71"/>
      <c r="I12" s="71"/>
      <c r="J12" s="71"/>
      <c r="K12" s="72"/>
      <c r="L12" s="73" t="s">
        <v>153</v>
      </c>
    </row>
    <row r="13" customFormat="false" ht="19.5" hidden="false" customHeight="true" outlineLevel="0" collapsed="false">
      <c r="A13" s="64" t="s">
        <v>98</v>
      </c>
      <c r="B13" s="64"/>
      <c r="C13" s="64"/>
      <c r="D13" s="64"/>
      <c r="E13" s="64"/>
      <c r="F13" s="64"/>
      <c r="G13" s="64"/>
      <c r="H13" s="64"/>
      <c r="I13" s="64"/>
      <c r="J13" s="64"/>
      <c r="K13" s="64"/>
    </row>
    <row r="14" customFormat="false" ht="72.75" hidden="false" customHeight="true" outlineLevel="0" collapsed="false">
      <c r="A14" s="65" t="s">
        <v>160</v>
      </c>
      <c r="B14" s="65" t="s">
        <v>161</v>
      </c>
      <c r="C14" s="66" t="s">
        <v>162</v>
      </c>
      <c r="D14" s="67"/>
      <c r="E14" s="68" t="str">
        <f aca="false">IF(D14="","",IFERROR(INDEX(Lists!$B$2:$B$6,MATCH(D14,Lists!$A$2:$A$6,0)),""))</f>
        <v/>
      </c>
      <c r="F14" s="69" t="str">
        <f aca="false">IF(D14="","Not Started",IFERROR(INDEX(Lists!$C$2:$C$6,MATCH(D14,Lists!$A$2:$A$6,0)),""))</f>
        <v>Not Started</v>
      </c>
      <c r="G14" s="70" t="str">
        <f aca="false">IF(D14="","",D14/4)</f>
        <v/>
      </c>
      <c r="H14" s="71"/>
      <c r="I14" s="71"/>
      <c r="J14" s="71"/>
      <c r="K14" s="72"/>
      <c r="L14" s="73" t="s">
        <v>163</v>
      </c>
    </row>
    <row r="15" customFormat="false" ht="60" hidden="false" customHeight="true" outlineLevel="0" collapsed="false">
      <c r="A15" s="65" t="s">
        <v>164</v>
      </c>
      <c r="B15" s="65" t="s">
        <v>165</v>
      </c>
      <c r="C15" s="66" t="s">
        <v>166</v>
      </c>
      <c r="D15" s="67"/>
      <c r="E15" s="68" t="str">
        <f aca="false">IF(D15="","",IFERROR(INDEX(Lists!$B$2:$B$6,MATCH(D15,Lists!$A$2:$A$6,0)),""))</f>
        <v/>
      </c>
      <c r="F15" s="69" t="str">
        <f aca="false">IF(D15="","Not Started",IFERROR(INDEX(Lists!$C$2:$C$6,MATCH(D15,Lists!$A$2:$A$6,0)),""))</f>
        <v>Not Started</v>
      </c>
      <c r="G15" s="70" t="str">
        <f aca="false">IF(D15="","",D15/4)</f>
        <v/>
      </c>
      <c r="H15" s="71"/>
      <c r="I15" s="71"/>
      <c r="J15" s="71"/>
      <c r="K15" s="72"/>
      <c r="L15" s="73" t="s">
        <v>163</v>
      </c>
    </row>
    <row r="16" customFormat="false" ht="72.75" hidden="false" customHeight="true" outlineLevel="0" collapsed="false">
      <c r="A16" s="65" t="s">
        <v>167</v>
      </c>
      <c r="B16" s="65" t="s">
        <v>168</v>
      </c>
      <c r="C16" s="66" t="s">
        <v>169</v>
      </c>
      <c r="D16" s="67"/>
      <c r="E16" s="68" t="str">
        <f aca="false">IF(D16="","",IFERROR(INDEX(Lists!$B$2:$B$6,MATCH(D16,Lists!$A$2:$A$6,0)),""))</f>
        <v/>
      </c>
      <c r="F16" s="69" t="str">
        <f aca="false">IF(D16="","Not Started",IFERROR(INDEX(Lists!$C$2:$C$6,MATCH(D16,Lists!$A$2:$A$6,0)),""))</f>
        <v>Not Started</v>
      </c>
      <c r="G16" s="70" t="str">
        <f aca="false">IF(D16="","",D16/4)</f>
        <v/>
      </c>
      <c r="H16" s="71"/>
      <c r="I16" s="71"/>
      <c r="J16" s="71"/>
      <c r="K16" s="72"/>
      <c r="L16" s="73" t="s">
        <v>163</v>
      </c>
    </row>
    <row r="17" customFormat="false" ht="60" hidden="false" customHeight="true" outlineLevel="0" collapsed="false">
      <c r="A17" s="65" t="s">
        <v>170</v>
      </c>
      <c r="B17" s="65" t="s">
        <v>171</v>
      </c>
      <c r="C17" s="66" t="s">
        <v>172</v>
      </c>
      <c r="D17" s="67"/>
      <c r="E17" s="68" t="str">
        <f aca="false">IF(D17="","",IFERROR(INDEX(Lists!$B$2:$B$6,MATCH(D17,Lists!$A$2:$A$6,0)),""))</f>
        <v/>
      </c>
      <c r="F17" s="69" t="str">
        <f aca="false">IF(D17="","Not Started",IFERROR(INDEX(Lists!$C$2:$C$6,MATCH(D17,Lists!$A$2:$A$6,0)),""))</f>
        <v>Not Started</v>
      </c>
      <c r="G17" s="70" t="str">
        <f aca="false">IF(D17="","",D17/4)</f>
        <v/>
      </c>
      <c r="H17" s="71"/>
      <c r="I17" s="71"/>
      <c r="J17" s="71"/>
      <c r="K17" s="72"/>
      <c r="L17" s="73" t="s">
        <v>163</v>
      </c>
    </row>
    <row r="18" customFormat="false" ht="60" hidden="false" customHeight="true" outlineLevel="0" collapsed="false">
      <c r="A18" s="65" t="s">
        <v>173</v>
      </c>
      <c r="B18" s="65" t="s">
        <v>174</v>
      </c>
      <c r="C18" s="66" t="s">
        <v>175</v>
      </c>
      <c r="D18" s="67"/>
      <c r="E18" s="68" t="str">
        <f aca="false">IF(D18="","",IFERROR(INDEX(Lists!$B$2:$B$6,MATCH(D18,Lists!$A$2:$A$6,0)),""))</f>
        <v/>
      </c>
      <c r="F18" s="69" t="str">
        <f aca="false">IF(D18="","Not Started",IFERROR(INDEX(Lists!$C$2:$C$6,MATCH(D18,Lists!$A$2:$A$6,0)),""))</f>
        <v>Not Started</v>
      </c>
      <c r="G18" s="70" t="str">
        <f aca="false">IF(D18="","",D18/4)</f>
        <v/>
      </c>
      <c r="H18" s="71"/>
      <c r="I18" s="71"/>
      <c r="J18" s="71"/>
      <c r="K18" s="72"/>
      <c r="L18" s="73" t="s">
        <v>163</v>
      </c>
    </row>
    <row r="19" customFormat="false" ht="46.5" hidden="false" customHeight="true" outlineLevel="0" collapsed="false">
      <c r="A19" s="65" t="s">
        <v>176</v>
      </c>
      <c r="B19" s="65" t="s">
        <v>177</v>
      </c>
      <c r="C19" s="66" t="s">
        <v>178</v>
      </c>
      <c r="D19" s="67"/>
      <c r="E19" s="68" t="str">
        <f aca="false">IF(D19="","",IFERROR(INDEX(Lists!$B$2:$B$6,MATCH(D19,Lists!$A$2:$A$6,0)),""))</f>
        <v/>
      </c>
      <c r="F19" s="69" t="str">
        <f aca="false">IF(D19="","Not Started",IFERROR(INDEX(Lists!$C$2:$C$6,MATCH(D19,Lists!$A$2:$A$6,0)),""))</f>
        <v>Not Started</v>
      </c>
      <c r="G19" s="70" t="str">
        <f aca="false">IF(D19="","",D19/4)</f>
        <v/>
      </c>
      <c r="H19" s="71"/>
      <c r="I19" s="71"/>
      <c r="J19" s="71"/>
      <c r="K19" s="72"/>
      <c r="L19" s="73" t="s">
        <v>163</v>
      </c>
    </row>
    <row r="20" customFormat="false" ht="19.5" hidden="false" customHeight="true" outlineLevel="0" collapsed="false">
      <c r="A20" s="64" t="s">
        <v>99</v>
      </c>
      <c r="B20" s="64"/>
      <c r="C20" s="64"/>
      <c r="D20" s="64"/>
      <c r="E20" s="64"/>
      <c r="F20" s="64"/>
      <c r="G20" s="64"/>
      <c r="H20" s="64"/>
      <c r="I20" s="64"/>
      <c r="J20" s="64"/>
      <c r="K20" s="64"/>
    </row>
    <row r="21" customFormat="false" ht="46.5" hidden="false" customHeight="true" outlineLevel="0" collapsed="false">
      <c r="A21" s="65" t="s">
        <v>179</v>
      </c>
      <c r="B21" s="65" t="s">
        <v>180</v>
      </c>
      <c r="C21" s="66" t="s">
        <v>181</v>
      </c>
      <c r="D21" s="67"/>
      <c r="E21" s="68" t="str">
        <f aca="false">IF(D21="","",IFERROR(INDEX(Lists!$B$2:$B$6,MATCH(D21,Lists!$A$2:$A$6,0)),""))</f>
        <v/>
      </c>
      <c r="F21" s="69" t="str">
        <f aca="false">IF(D21="","Not Started",IFERROR(INDEX(Lists!$C$2:$C$6,MATCH(D21,Lists!$A$2:$A$6,0)),""))</f>
        <v>Not Started</v>
      </c>
      <c r="G21" s="70" t="str">
        <f aca="false">IF(D21="","",D21/4)</f>
        <v/>
      </c>
      <c r="H21" s="71"/>
      <c r="I21" s="71"/>
      <c r="J21" s="71"/>
      <c r="K21" s="72"/>
      <c r="L21" s="73" t="s">
        <v>182</v>
      </c>
    </row>
    <row r="22" customFormat="false" ht="60" hidden="false" customHeight="true" outlineLevel="0" collapsed="false">
      <c r="A22" s="65" t="s">
        <v>183</v>
      </c>
      <c r="B22" s="65" t="s">
        <v>184</v>
      </c>
      <c r="C22" s="66" t="s">
        <v>185</v>
      </c>
      <c r="D22" s="67"/>
      <c r="E22" s="68" t="str">
        <f aca="false">IF(D22="","",IFERROR(INDEX(Lists!$B$2:$B$6,MATCH(D22,Lists!$A$2:$A$6,0)),""))</f>
        <v/>
      </c>
      <c r="F22" s="69" t="str">
        <f aca="false">IF(D22="","Not Started",IFERROR(INDEX(Lists!$C$2:$C$6,MATCH(D22,Lists!$A$2:$A$6,0)),""))</f>
        <v>Not Started</v>
      </c>
      <c r="G22" s="70" t="str">
        <f aca="false">IF(D22="","",D22/4)</f>
        <v/>
      </c>
      <c r="H22" s="71"/>
      <c r="I22" s="71"/>
      <c r="J22" s="71"/>
      <c r="K22" s="72"/>
      <c r="L22" s="73" t="s">
        <v>182</v>
      </c>
    </row>
    <row r="23" customFormat="false" ht="60" hidden="false" customHeight="true" outlineLevel="0" collapsed="false">
      <c r="A23" s="65" t="s">
        <v>186</v>
      </c>
      <c r="B23" s="65" t="s">
        <v>187</v>
      </c>
      <c r="C23" s="66" t="s">
        <v>188</v>
      </c>
      <c r="D23" s="67"/>
      <c r="E23" s="68" t="str">
        <f aca="false">IF(D23="","",IFERROR(INDEX(Lists!$B$2:$B$6,MATCH(D23,Lists!$A$2:$A$6,0)),""))</f>
        <v/>
      </c>
      <c r="F23" s="69" t="str">
        <f aca="false">IF(D23="","Not Started",IFERROR(INDEX(Lists!$C$2:$C$6,MATCH(D23,Lists!$A$2:$A$6,0)),""))</f>
        <v>Not Started</v>
      </c>
      <c r="G23" s="70" t="str">
        <f aca="false">IF(D23="","",D23/4)</f>
        <v/>
      </c>
      <c r="H23" s="71"/>
      <c r="I23" s="71"/>
      <c r="J23" s="71"/>
      <c r="K23" s="72"/>
      <c r="L23" s="73" t="s">
        <v>182</v>
      </c>
    </row>
    <row r="24" customFormat="false" ht="46.5" hidden="false" customHeight="true" outlineLevel="0" collapsed="false">
      <c r="A24" s="65" t="s">
        <v>189</v>
      </c>
      <c r="B24" s="65" t="s">
        <v>190</v>
      </c>
      <c r="C24" s="66" t="s">
        <v>191</v>
      </c>
      <c r="D24" s="67"/>
      <c r="E24" s="68" t="str">
        <f aca="false">IF(D24="","",IFERROR(INDEX(Lists!$B$2:$B$6,MATCH(D24,Lists!$A$2:$A$6,0)),""))</f>
        <v/>
      </c>
      <c r="F24" s="69" t="str">
        <f aca="false">IF(D24="","Not Started",IFERROR(INDEX(Lists!$C$2:$C$6,MATCH(D24,Lists!$A$2:$A$6,0)),""))</f>
        <v>Not Started</v>
      </c>
      <c r="G24" s="70" t="str">
        <f aca="false">IF(D24="","",D24/4)</f>
        <v/>
      </c>
      <c r="H24" s="71"/>
      <c r="I24" s="71"/>
      <c r="J24" s="71"/>
      <c r="K24" s="72"/>
      <c r="L24" s="73" t="s">
        <v>182</v>
      </c>
    </row>
    <row r="25" customFormat="false" ht="46.5" hidden="false" customHeight="true" outlineLevel="0" collapsed="false">
      <c r="A25" s="65" t="s">
        <v>192</v>
      </c>
      <c r="B25" s="65" t="s">
        <v>193</v>
      </c>
      <c r="C25" s="66" t="s">
        <v>194</v>
      </c>
      <c r="D25" s="67"/>
      <c r="E25" s="68" t="str">
        <f aca="false">IF(D25="","",IFERROR(INDEX(Lists!$B$2:$B$6,MATCH(D25,Lists!$A$2:$A$6,0)),""))</f>
        <v/>
      </c>
      <c r="F25" s="69" t="str">
        <f aca="false">IF(D25="","Not Started",IFERROR(INDEX(Lists!$C$2:$C$6,MATCH(D25,Lists!$A$2:$A$6,0)),""))</f>
        <v>Not Started</v>
      </c>
      <c r="G25" s="70" t="str">
        <f aca="false">IF(D25="","",D25/4)</f>
        <v/>
      </c>
      <c r="H25" s="71"/>
      <c r="I25" s="71"/>
      <c r="J25" s="71"/>
      <c r="K25" s="72"/>
      <c r="L25" s="73" t="s">
        <v>182</v>
      </c>
    </row>
    <row r="26" customFormat="false" ht="60" hidden="false" customHeight="true" outlineLevel="0" collapsed="false">
      <c r="A26" s="65" t="s">
        <v>195</v>
      </c>
      <c r="B26" s="65" t="s">
        <v>196</v>
      </c>
      <c r="C26" s="66" t="s">
        <v>197</v>
      </c>
      <c r="D26" s="67"/>
      <c r="E26" s="68" t="str">
        <f aca="false">IF(D26="","",IFERROR(INDEX(Lists!$B$2:$B$6,MATCH(D26,Lists!$A$2:$A$6,0)),""))</f>
        <v/>
      </c>
      <c r="F26" s="69" t="str">
        <f aca="false">IF(D26="","Not Started",IFERROR(INDEX(Lists!$C$2:$C$6,MATCH(D26,Lists!$A$2:$A$6,0)),""))</f>
        <v>Not Started</v>
      </c>
      <c r="G26" s="70" t="str">
        <f aca="false">IF(D26="","",D26/4)</f>
        <v/>
      </c>
      <c r="H26" s="71"/>
      <c r="I26" s="71"/>
      <c r="J26" s="71"/>
      <c r="K26" s="72"/>
      <c r="L26" s="73" t="s">
        <v>182</v>
      </c>
    </row>
    <row r="27" customFormat="false" ht="60" hidden="false" customHeight="true" outlineLevel="0" collapsed="false">
      <c r="A27" s="65" t="s">
        <v>198</v>
      </c>
      <c r="B27" s="65" t="s">
        <v>199</v>
      </c>
      <c r="C27" s="66" t="s">
        <v>200</v>
      </c>
      <c r="D27" s="67"/>
      <c r="E27" s="68" t="str">
        <f aca="false">IF(D27="","",IFERROR(INDEX(Lists!$B$2:$B$6,MATCH(D27,Lists!$A$2:$A$6,0)),""))</f>
        <v/>
      </c>
      <c r="F27" s="69" t="str">
        <f aca="false">IF(D27="","Not Started",IFERROR(INDEX(Lists!$C$2:$C$6,MATCH(D27,Lists!$A$2:$A$6,0)),""))</f>
        <v>Not Started</v>
      </c>
      <c r="G27" s="70" t="str">
        <f aca="false">IF(D27="","",D27/4)</f>
        <v/>
      </c>
      <c r="H27" s="71"/>
      <c r="I27" s="71"/>
      <c r="J27" s="71"/>
      <c r="K27" s="72"/>
      <c r="L27" s="73" t="s">
        <v>182</v>
      </c>
    </row>
    <row r="28" customFormat="false" ht="19.5" hidden="false" customHeight="true" outlineLevel="0" collapsed="false">
      <c r="A28" s="64" t="s">
        <v>100</v>
      </c>
      <c r="B28" s="64"/>
      <c r="C28" s="64"/>
      <c r="D28" s="64"/>
      <c r="E28" s="64"/>
      <c r="F28" s="64"/>
      <c r="G28" s="64"/>
      <c r="H28" s="64"/>
      <c r="I28" s="64"/>
      <c r="J28" s="64"/>
      <c r="K28" s="64"/>
    </row>
    <row r="29" customFormat="false" ht="72.75" hidden="false" customHeight="true" outlineLevel="0" collapsed="false">
      <c r="A29" s="65" t="s">
        <v>201</v>
      </c>
      <c r="B29" s="65" t="s">
        <v>202</v>
      </c>
      <c r="C29" s="66" t="s">
        <v>203</v>
      </c>
      <c r="D29" s="67"/>
      <c r="E29" s="68" t="str">
        <f aca="false">IF(D29="","",IFERROR(INDEX(Lists!$B$2:$B$6,MATCH(D29,Lists!$A$2:$A$6,0)),""))</f>
        <v/>
      </c>
      <c r="F29" s="69" t="str">
        <f aca="false">IF(D29="","Not Started",IFERROR(INDEX(Lists!$C$2:$C$6,MATCH(D29,Lists!$A$2:$A$6,0)),""))</f>
        <v>Not Started</v>
      </c>
      <c r="G29" s="70" t="str">
        <f aca="false">IF(D29="","",D29/4)</f>
        <v/>
      </c>
      <c r="H29" s="71"/>
      <c r="I29" s="71"/>
      <c r="J29" s="71"/>
      <c r="K29" s="72"/>
      <c r="L29" s="73" t="s">
        <v>204</v>
      </c>
    </row>
    <row r="30" customFormat="false" ht="60" hidden="false" customHeight="true" outlineLevel="0" collapsed="false">
      <c r="A30" s="65" t="s">
        <v>205</v>
      </c>
      <c r="B30" s="65" t="s">
        <v>206</v>
      </c>
      <c r="C30" s="66" t="s">
        <v>207</v>
      </c>
      <c r="D30" s="67"/>
      <c r="E30" s="68" t="str">
        <f aca="false">IF(D30="","",IFERROR(INDEX(Lists!$B$2:$B$6,MATCH(D30,Lists!$A$2:$A$6,0)),""))</f>
        <v/>
      </c>
      <c r="F30" s="69" t="str">
        <f aca="false">IF(D30="","Not Started",IFERROR(INDEX(Lists!$C$2:$C$6,MATCH(D30,Lists!$A$2:$A$6,0)),""))</f>
        <v>Not Started</v>
      </c>
      <c r="G30" s="70" t="str">
        <f aca="false">IF(D30="","",D30/4)</f>
        <v/>
      </c>
      <c r="H30" s="71"/>
      <c r="I30" s="71"/>
      <c r="J30" s="71"/>
      <c r="K30" s="72"/>
      <c r="L30" s="73" t="s">
        <v>204</v>
      </c>
    </row>
    <row r="31" customFormat="false" ht="33.75" hidden="false" customHeight="true" outlineLevel="0" collapsed="false">
      <c r="A31" s="65" t="s">
        <v>208</v>
      </c>
      <c r="B31" s="65" t="s">
        <v>209</v>
      </c>
      <c r="C31" s="66" t="s">
        <v>210</v>
      </c>
      <c r="D31" s="67"/>
      <c r="E31" s="68" t="str">
        <f aca="false">IF(D31="","",IFERROR(INDEX(Lists!$B$2:$B$6,MATCH(D31,Lists!$A$2:$A$6,0)),""))</f>
        <v/>
      </c>
      <c r="F31" s="69" t="str">
        <f aca="false">IF(D31="","Not Started",IFERROR(INDEX(Lists!$C$2:$C$6,MATCH(D31,Lists!$A$2:$A$6,0)),""))</f>
        <v>Not Started</v>
      </c>
      <c r="G31" s="70" t="str">
        <f aca="false">IF(D31="","",D31/4)</f>
        <v/>
      </c>
      <c r="H31" s="71"/>
      <c r="I31" s="71"/>
      <c r="J31" s="71"/>
      <c r="K31" s="72"/>
      <c r="L31" s="73" t="s">
        <v>204</v>
      </c>
    </row>
    <row r="32" customFormat="false" ht="46.5" hidden="false" customHeight="true" outlineLevel="0" collapsed="false">
      <c r="A32" s="65" t="s">
        <v>211</v>
      </c>
      <c r="B32" s="65" t="s">
        <v>212</v>
      </c>
      <c r="C32" s="66" t="s">
        <v>213</v>
      </c>
      <c r="D32" s="67"/>
      <c r="E32" s="68" t="str">
        <f aca="false">IF(D32="","",IFERROR(INDEX(Lists!$B$2:$B$6,MATCH(D32,Lists!$A$2:$A$6,0)),""))</f>
        <v/>
      </c>
      <c r="F32" s="69" t="str">
        <f aca="false">IF(D32="","Not Started",IFERROR(INDEX(Lists!$C$2:$C$6,MATCH(D32,Lists!$A$2:$A$6,0)),""))</f>
        <v>Not Started</v>
      </c>
      <c r="G32" s="70" t="str">
        <f aca="false">IF(D32="","",D32/4)</f>
        <v/>
      </c>
      <c r="H32" s="71"/>
      <c r="I32" s="71"/>
      <c r="J32" s="71"/>
      <c r="K32" s="72"/>
      <c r="L32" s="73" t="s">
        <v>204</v>
      </c>
    </row>
    <row r="33" customFormat="false" ht="19.5" hidden="false" customHeight="true" outlineLevel="0" collapsed="false">
      <c r="A33" s="64" t="s">
        <v>101</v>
      </c>
      <c r="B33" s="64"/>
      <c r="C33" s="64"/>
      <c r="D33" s="64"/>
      <c r="E33" s="64"/>
      <c r="F33" s="64"/>
      <c r="G33" s="64"/>
      <c r="H33" s="64"/>
      <c r="I33" s="64"/>
      <c r="J33" s="64"/>
      <c r="K33" s="64"/>
    </row>
    <row r="34" customFormat="false" ht="60" hidden="false" customHeight="true" outlineLevel="0" collapsed="false">
      <c r="A34" s="65" t="s">
        <v>214</v>
      </c>
      <c r="B34" s="65" t="s">
        <v>215</v>
      </c>
      <c r="C34" s="66" t="s">
        <v>216</v>
      </c>
      <c r="D34" s="67"/>
      <c r="E34" s="68" t="str">
        <f aca="false">IF(D34="","",IFERROR(INDEX(Lists!$B$2:$B$6,MATCH(D34,Lists!$A$2:$A$6,0)),""))</f>
        <v/>
      </c>
      <c r="F34" s="69" t="str">
        <f aca="false">IF(D34="","Not Started",IFERROR(INDEX(Lists!$C$2:$C$6,MATCH(D34,Lists!$A$2:$A$6,0)),""))</f>
        <v>Not Started</v>
      </c>
      <c r="G34" s="70" t="str">
        <f aca="false">IF(D34="","",D34/4)</f>
        <v/>
      </c>
      <c r="H34" s="71"/>
      <c r="I34" s="71"/>
      <c r="J34" s="71"/>
      <c r="K34" s="72"/>
      <c r="L34" s="73" t="s">
        <v>217</v>
      </c>
    </row>
    <row r="35" customFormat="false" ht="72.75" hidden="false" customHeight="true" outlineLevel="0" collapsed="false">
      <c r="A35" s="65" t="s">
        <v>218</v>
      </c>
      <c r="B35" s="65" t="s">
        <v>219</v>
      </c>
      <c r="C35" s="66" t="s">
        <v>220</v>
      </c>
      <c r="D35" s="67"/>
      <c r="E35" s="68" t="str">
        <f aca="false">IF(D35="","",IFERROR(INDEX(Lists!$B$2:$B$6,MATCH(D35,Lists!$A$2:$A$6,0)),""))</f>
        <v/>
      </c>
      <c r="F35" s="69" t="str">
        <f aca="false">IF(D35="","Not Started",IFERROR(INDEX(Lists!$C$2:$C$6,MATCH(D35,Lists!$A$2:$A$6,0)),""))</f>
        <v>Not Started</v>
      </c>
      <c r="G35" s="70" t="str">
        <f aca="false">IF(D35="","",D35/4)</f>
        <v/>
      </c>
      <c r="H35" s="71"/>
      <c r="I35" s="71"/>
      <c r="J35" s="71"/>
      <c r="K35" s="72"/>
      <c r="L35" s="73" t="s">
        <v>217</v>
      </c>
    </row>
    <row r="36" customFormat="false" ht="72.75" hidden="false" customHeight="true" outlineLevel="0" collapsed="false">
      <c r="A36" s="65" t="s">
        <v>221</v>
      </c>
      <c r="B36" s="65" t="s">
        <v>222</v>
      </c>
      <c r="C36" s="66" t="s">
        <v>223</v>
      </c>
      <c r="D36" s="67"/>
      <c r="E36" s="68" t="str">
        <f aca="false">IF(D36="","",IFERROR(INDEX(Lists!$B$2:$B$6,MATCH(D36,Lists!$A$2:$A$6,0)),""))</f>
        <v/>
      </c>
      <c r="F36" s="69" t="str">
        <f aca="false">IF(D36="","Not Started",IFERROR(INDEX(Lists!$C$2:$C$6,MATCH(D36,Lists!$A$2:$A$6,0)),""))</f>
        <v>Not Started</v>
      </c>
      <c r="G36" s="70" t="str">
        <f aca="false">IF(D36="","",D36/4)</f>
        <v/>
      </c>
      <c r="H36" s="71"/>
      <c r="I36" s="71"/>
      <c r="J36" s="71"/>
      <c r="K36" s="72"/>
      <c r="L36" s="73" t="s">
        <v>217</v>
      </c>
    </row>
    <row r="37" customFormat="false" ht="46.5" hidden="false" customHeight="true" outlineLevel="0" collapsed="false">
      <c r="A37" s="65" t="s">
        <v>224</v>
      </c>
      <c r="B37" s="65" t="s">
        <v>225</v>
      </c>
      <c r="C37" s="66" t="s">
        <v>226</v>
      </c>
      <c r="D37" s="67"/>
      <c r="E37" s="68" t="str">
        <f aca="false">IF(D37="","",IFERROR(INDEX(Lists!$B$2:$B$6,MATCH(D37,Lists!$A$2:$A$6,0)),""))</f>
        <v/>
      </c>
      <c r="F37" s="69" t="str">
        <f aca="false">IF(D37="","Not Started",IFERROR(INDEX(Lists!$C$2:$C$6,MATCH(D37,Lists!$A$2:$A$6,0)),""))</f>
        <v>Not Started</v>
      </c>
      <c r="G37" s="70" t="str">
        <f aca="false">IF(D37="","",D37/4)</f>
        <v/>
      </c>
      <c r="H37" s="71"/>
      <c r="I37" s="71"/>
      <c r="J37" s="71"/>
      <c r="K37" s="72"/>
      <c r="L37" s="73" t="s">
        <v>217</v>
      </c>
    </row>
    <row r="38" customFormat="false" ht="60" hidden="false" customHeight="true" outlineLevel="0" collapsed="false">
      <c r="A38" s="65" t="s">
        <v>227</v>
      </c>
      <c r="B38" s="65" t="s">
        <v>228</v>
      </c>
      <c r="C38" s="66" t="s">
        <v>229</v>
      </c>
      <c r="D38" s="67"/>
      <c r="E38" s="68" t="str">
        <f aca="false">IF(D38="","",IFERROR(INDEX(Lists!$B$2:$B$6,MATCH(D38,Lists!$A$2:$A$6,0)),""))</f>
        <v/>
      </c>
      <c r="F38" s="69" t="str">
        <f aca="false">IF(D38="","Not Started",IFERROR(INDEX(Lists!$C$2:$C$6,MATCH(D38,Lists!$A$2:$A$6,0)),""))</f>
        <v>Not Started</v>
      </c>
      <c r="G38" s="70" t="str">
        <f aca="false">IF(D38="","",D38/4)</f>
        <v/>
      </c>
      <c r="H38" s="71"/>
      <c r="I38" s="71"/>
      <c r="J38" s="71"/>
      <c r="K38" s="72"/>
      <c r="L38" s="73" t="s">
        <v>217</v>
      </c>
    </row>
    <row r="39" customFormat="false" ht="60" hidden="false" customHeight="true" outlineLevel="0" collapsed="false">
      <c r="A39" s="65" t="s">
        <v>230</v>
      </c>
      <c r="B39" s="65" t="s">
        <v>231</v>
      </c>
      <c r="C39" s="66" t="s">
        <v>232</v>
      </c>
      <c r="D39" s="67"/>
      <c r="E39" s="68" t="str">
        <f aca="false">IF(D39="","",IFERROR(INDEX(Lists!$B$2:$B$6,MATCH(D39,Lists!$A$2:$A$6,0)),""))</f>
        <v/>
      </c>
      <c r="F39" s="69" t="str">
        <f aca="false">IF(D39="","Not Started",IFERROR(INDEX(Lists!$C$2:$C$6,MATCH(D39,Lists!$A$2:$A$6,0)),""))</f>
        <v>Not Started</v>
      </c>
      <c r="G39" s="70" t="str">
        <f aca="false">IF(D39="","",D39/4)</f>
        <v/>
      </c>
      <c r="H39" s="71"/>
      <c r="I39" s="71"/>
      <c r="J39" s="71"/>
      <c r="K39" s="72"/>
      <c r="L39" s="73" t="s">
        <v>217</v>
      </c>
    </row>
    <row r="40" customFormat="false" ht="19.5" hidden="false" customHeight="true" outlineLevel="0" collapsed="false">
      <c r="A40" s="64" t="s">
        <v>102</v>
      </c>
      <c r="B40" s="64"/>
      <c r="C40" s="64"/>
      <c r="D40" s="64"/>
      <c r="E40" s="64"/>
      <c r="F40" s="64"/>
      <c r="G40" s="64"/>
      <c r="H40" s="64"/>
      <c r="I40" s="64"/>
      <c r="J40" s="64"/>
      <c r="K40" s="64"/>
    </row>
    <row r="41" customFormat="false" ht="33.75" hidden="false" customHeight="true" outlineLevel="0" collapsed="false">
      <c r="A41" s="65" t="s">
        <v>233</v>
      </c>
      <c r="B41" s="65" t="s">
        <v>234</v>
      </c>
      <c r="C41" s="66" t="s">
        <v>235</v>
      </c>
      <c r="D41" s="67"/>
      <c r="E41" s="68" t="str">
        <f aca="false">IF(D41="","",IFERROR(INDEX(Lists!$B$2:$B$6,MATCH(D41,Lists!$A$2:$A$6,0)),""))</f>
        <v/>
      </c>
      <c r="F41" s="69" t="str">
        <f aca="false">IF(D41="","Not Started",IFERROR(INDEX(Lists!$C$2:$C$6,MATCH(D41,Lists!$A$2:$A$6,0)),""))</f>
        <v>Not Started</v>
      </c>
      <c r="G41" s="70" t="str">
        <f aca="false">IF(D41="","",D41/4)</f>
        <v/>
      </c>
      <c r="H41" s="71"/>
      <c r="I41" s="71"/>
      <c r="J41" s="71"/>
      <c r="K41" s="72"/>
      <c r="L41" s="73" t="s">
        <v>236</v>
      </c>
    </row>
    <row r="42" customFormat="false" ht="60" hidden="false" customHeight="true" outlineLevel="0" collapsed="false">
      <c r="A42" s="65" t="s">
        <v>237</v>
      </c>
      <c r="B42" s="65" t="s">
        <v>238</v>
      </c>
      <c r="C42" s="66" t="s">
        <v>239</v>
      </c>
      <c r="D42" s="67"/>
      <c r="E42" s="68" t="str">
        <f aca="false">IF(D42="","",IFERROR(INDEX(Lists!$B$2:$B$6,MATCH(D42,Lists!$A$2:$A$6,0)),""))</f>
        <v/>
      </c>
      <c r="F42" s="69" t="str">
        <f aca="false">IF(D42="","Not Started",IFERROR(INDEX(Lists!$C$2:$C$6,MATCH(D42,Lists!$A$2:$A$6,0)),""))</f>
        <v>Not Started</v>
      </c>
      <c r="G42" s="70" t="str">
        <f aca="false">IF(D42="","",D42/4)</f>
        <v/>
      </c>
      <c r="H42" s="71"/>
      <c r="I42" s="71"/>
      <c r="J42" s="71"/>
      <c r="K42" s="72"/>
      <c r="L42" s="73" t="s">
        <v>236</v>
      </c>
    </row>
  </sheetData>
  <mergeCells count="9">
    <mergeCell ref="A1:K1"/>
    <mergeCell ref="A2:K2"/>
    <mergeCell ref="A4:K4"/>
    <mergeCell ref="A9:K9"/>
    <mergeCell ref="A13:K13"/>
    <mergeCell ref="A20:K20"/>
    <mergeCell ref="A28:K28"/>
    <mergeCell ref="A33:K33"/>
    <mergeCell ref="A40:K40"/>
  </mergeCells>
  <conditionalFormatting sqref="F4:F42">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42">
    <cfRule type="colorScale" priority="8">
      <colorScale>
        <cfvo type="num" val="0"/>
        <cfvo type="num" val="0.5"/>
        <cfvo type="num" val="1"/>
        <color rgb="FFF6DEDE"/>
        <color rgb="FFFBEECB"/>
        <color rgb="FFD8ECDB"/>
      </colorScale>
    </cfRule>
  </conditionalFormatting>
  <dataValidations count="1">
    <dataValidation allowBlank="true" errorStyle="stop" operator="between" showDropDown="false" showErrorMessage="false" showInputMessage="false" sqref="D5:D8 D10:D12 D14:D19 D21:D27 D29:D32 D34:D39 D41:D42" type="list">
      <formula1>Lists!$A$2:$A$6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false"/>
  </sheetPr>
  <dimension ref="A1:N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2"/>
    <col collapsed="false" customWidth="true" hidden="false" outlineLevel="0" max="3" min="3" style="0" width="26"/>
    <col collapsed="false" customWidth="true" hidden="false" outlineLevel="0" max="4" min="4" style="0" width="46"/>
    <col collapsed="false" customWidth="true" hidden="false" outlineLevel="0" max="5" min="5" style="0" width="14"/>
    <col collapsed="false" customWidth="true" hidden="false" outlineLevel="0" max="6" min="6" style="0" width="10"/>
    <col collapsed="false" customWidth="true" hidden="false" outlineLevel="0" max="7" min="7" style="0" width="18"/>
    <col collapsed="false" customWidth="true" hidden="false" outlineLevel="0" max="8" min="8" style="0" width="20"/>
    <col collapsed="false" customWidth="true" hidden="false" outlineLevel="0" max="9" min="9" style="0" width="8"/>
    <col collapsed="false" customWidth="true" hidden="false" outlineLevel="0" max="11" min="10" style="0" width="30"/>
    <col collapsed="false" customWidth="true" hidden="false" outlineLevel="0" max="12" min="12" style="0" width="16"/>
    <col collapsed="false" customWidth="true" hidden="false" outlineLevel="0" max="13" min="13" style="0" width="13"/>
    <col collapsed="false" customWidth="true" hidden="true" outlineLevel="0" max="14" min="14" style="0" width="13"/>
  </cols>
  <sheetData>
    <row r="1" customFormat="false" ht="33.75" hidden="false" customHeight="true" outlineLevel="0" collapsed="false">
      <c r="A1" s="15" t="s">
        <v>240</v>
      </c>
      <c r="B1" s="15"/>
      <c r="C1" s="15"/>
      <c r="D1" s="15"/>
      <c r="E1" s="15"/>
      <c r="F1" s="15"/>
      <c r="G1" s="15"/>
      <c r="H1" s="15"/>
      <c r="I1" s="15"/>
      <c r="J1" s="15"/>
      <c r="K1" s="15"/>
      <c r="L1" s="15"/>
      <c r="M1" s="15"/>
    </row>
    <row r="2" customFormat="false" ht="19.5" hidden="false" customHeight="true" outlineLevel="0" collapsed="false">
      <c r="A2" s="16" t="s">
        <v>241</v>
      </c>
      <c r="B2" s="16"/>
      <c r="C2" s="16"/>
      <c r="D2" s="16"/>
      <c r="E2" s="16"/>
      <c r="F2" s="16"/>
      <c r="G2" s="16"/>
      <c r="H2" s="16"/>
      <c r="I2" s="16"/>
      <c r="J2" s="16"/>
      <c r="K2" s="16"/>
      <c r="L2" s="16"/>
      <c r="M2" s="16"/>
    </row>
    <row r="3" customFormat="false" ht="30" hidden="false" customHeight="true" outlineLevel="0" collapsed="false">
      <c r="A3" s="63" t="s">
        <v>130</v>
      </c>
      <c r="B3" s="63" t="s">
        <v>242</v>
      </c>
      <c r="C3" s="63" t="s">
        <v>243</v>
      </c>
      <c r="D3" s="63" t="s">
        <v>244</v>
      </c>
      <c r="E3" s="63" t="s">
        <v>37</v>
      </c>
      <c r="F3" s="63" t="s">
        <v>133</v>
      </c>
      <c r="G3" s="63" t="s">
        <v>134</v>
      </c>
      <c r="H3" s="63" t="s">
        <v>135</v>
      </c>
      <c r="I3" s="63" t="s">
        <v>136</v>
      </c>
      <c r="J3" s="63" t="s">
        <v>41</v>
      </c>
      <c r="K3" s="63" t="s">
        <v>43</v>
      </c>
      <c r="L3" s="63" t="s">
        <v>45</v>
      </c>
      <c r="M3" s="63" t="s">
        <v>47</v>
      </c>
    </row>
    <row r="4" customFormat="false" ht="19.5" hidden="false" customHeight="true" outlineLevel="0" collapsed="false">
      <c r="A4" s="64" t="s">
        <v>245</v>
      </c>
      <c r="B4" s="64"/>
      <c r="C4" s="64"/>
      <c r="D4" s="64"/>
      <c r="E4" s="64"/>
      <c r="F4" s="64"/>
      <c r="G4" s="64"/>
      <c r="H4" s="64"/>
      <c r="I4" s="64"/>
      <c r="J4" s="64"/>
      <c r="K4" s="64"/>
      <c r="L4" s="64"/>
      <c r="M4" s="64"/>
    </row>
    <row r="5" customFormat="false" ht="46.5" hidden="false" customHeight="true" outlineLevel="0" collapsed="false">
      <c r="A5" s="65" t="s">
        <v>246</v>
      </c>
      <c r="B5" s="65" t="s">
        <v>247</v>
      </c>
      <c r="C5" s="66" t="s">
        <v>155</v>
      </c>
      <c r="D5" s="66" t="s">
        <v>248</v>
      </c>
      <c r="E5" s="67" t="s">
        <v>249</v>
      </c>
      <c r="F5" s="67"/>
      <c r="G5" s="68" t="str">
        <f aca="false">IF(F5="","",IFERROR(INDEX(Lists!$B$2:$B$6,MATCH(F5,Lists!$A$2:$A$6,0)),""))</f>
        <v/>
      </c>
      <c r="H5" s="69" t="str">
        <f aca="false">IF(E5="Not Applicable","Not Applicable",IF(F5="","Not Started",IFERROR(INDEX(Lists!$C$2:$C$6,MATCH(F5,Lists!$A$2:$A$6,0)),"")))</f>
        <v>Not Started</v>
      </c>
      <c r="I5" s="70" t="str">
        <f aca="false">IF(E5="Not Applicable","N/A",IF(F5="","",F5/4))</f>
        <v/>
      </c>
      <c r="J5" s="71"/>
      <c r="K5" s="71"/>
      <c r="L5" s="71"/>
      <c r="M5" s="72"/>
      <c r="N5" s="73" t="s">
        <v>247</v>
      </c>
    </row>
    <row r="6" customFormat="false" ht="60" hidden="false" customHeight="true" outlineLevel="0" collapsed="false">
      <c r="A6" s="65" t="s">
        <v>250</v>
      </c>
      <c r="B6" s="65" t="s">
        <v>247</v>
      </c>
      <c r="C6" s="66" t="s">
        <v>251</v>
      </c>
      <c r="D6" s="66" t="s">
        <v>252</v>
      </c>
      <c r="E6" s="67" t="s">
        <v>249</v>
      </c>
      <c r="F6" s="67"/>
      <c r="G6" s="68" t="str">
        <f aca="false">IF(F6="","",IFERROR(INDEX(Lists!$B$2:$B$6,MATCH(F6,Lists!$A$2:$A$6,0)),""))</f>
        <v/>
      </c>
      <c r="H6" s="69" t="str">
        <f aca="false">IF(E6="Not Applicable","Not Applicable",IF(F6="","Not Started",IFERROR(INDEX(Lists!$C$2:$C$6,MATCH(F6,Lists!$A$2:$A$6,0)),"")))</f>
        <v>Not Started</v>
      </c>
      <c r="I6" s="70" t="str">
        <f aca="false">IF(E6="Not Applicable","N/A",IF(F6="","",F6/4))</f>
        <v/>
      </c>
      <c r="J6" s="71"/>
      <c r="K6" s="71"/>
      <c r="L6" s="71"/>
      <c r="M6" s="72"/>
      <c r="N6" s="73" t="s">
        <v>247</v>
      </c>
    </row>
    <row r="7" customFormat="false" ht="60" hidden="false" customHeight="true" outlineLevel="0" collapsed="false">
      <c r="A7" s="65" t="s">
        <v>253</v>
      </c>
      <c r="B7" s="65" t="s">
        <v>247</v>
      </c>
      <c r="C7" s="66" t="s">
        <v>254</v>
      </c>
      <c r="D7" s="66" t="s">
        <v>255</v>
      </c>
      <c r="E7" s="67" t="s">
        <v>249</v>
      </c>
      <c r="F7" s="67"/>
      <c r="G7" s="68" t="str">
        <f aca="false">IF(F7="","",IFERROR(INDEX(Lists!$B$2:$B$6,MATCH(F7,Lists!$A$2:$A$6,0)),""))</f>
        <v/>
      </c>
      <c r="H7" s="69" t="str">
        <f aca="false">IF(E7="Not Applicable","Not Applicable",IF(F7="","Not Started",IFERROR(INDEX(Lists!$C$2:$C$6,MATCH(F7,Lists!$A$2:$A$6,0)),"")))</f>
        <v>Not Started</v>
      </c>
      <c r="I7" s="70" t="str">
        <f aca="false">IF(E7="Not Applicable","N/A",IF(F7="","",F7/4))</f>
        <v/>
      </c>
      <c r="J7" s="71"/>
      <c r="K7" s="71"/>
      <c r="L7" s="71"/>
      <c r="M7" s="72"/>
      <c r="N7" s="73" t="s">
        <v>247</v>
      </c>
    </row>
    <row r="8" customFormat="false" ht="19.5" hidden="false" customHeight="true" outlineLevel="0" collapsed="false">
      <c r="A8" s="64" t="s">
        <v>256</v>
      </c>
      <c r="B8" s="64"/>
      <c r="C8" s="64"/>
      <c r="D8" s="64"/>
      <c r="E8" s="64"/>
      <c r="F8" s="64"/>
      <c r="G8" s="64"/>
      <c r="H8" s="64"/>
      <c r="I8" s="64"/>
      <c r="J8" s="64"/>
      <c r="K8" s="64"/>
      <c r="L8" s="64"/>
      <c r="M8" s="64"/>
    </row>
    <row r="9" customFormat="false" ht="46.5" hidden="false" customHeight="true" outlineLevel="0" collapsed="false">
      <c r="A9" s="65" t="s">
        <v>257</v>
      </c>
      <c r="B9" s="65" t="s">
        <v>258</v>
      </c>
      <c r="C9" s="66" t="s">
        <v>259</v>
      </c>
      <c r="D9" s="66" t="s">
        <v>260</v>
      </c>
      <c r="E9" s="67" t="s">
        <v>249</v>
      </c>
      <c r="F9" s="67"/>
      <c r="G9" s="68" t="str">
        <f aca="false">IF(F9="","",IFERROR(INDEX(Lists!$B$2:$B$6,MATCH(F9,Lists!$A$2:$A$6,0)),""))</f>
        <v/>
      </c>
      <c r="H9" s="69" t="str">
        <f aca="false">IF(E9="Not Applicable","Not Applicable",IF(F9="","Not Started",IFERROR(INDEX(Lists!$C$2:$C$6,MATCH(F9,Lists!$A$2:$A$6,0)),"")))</f>
        <v>Not Started</v>
      </c>
      <c r="I9" s="70" t="str">
        <f aca="false">IF(E9="Not Applicable","N/A",IF(F9="","",F9/4))</f>
        <v/>
      </c>
      <c r="J9" s="71"/>
      <c r="K9" s="71"/>
      <c r="L9" s="71"/>
      <c r="M9" s="72"/>
      <c r="N9" s="73" t="s">
        <v>258</v>
      </c>
    </row>
    <row r="10" customFormat="false" ht="60" hidden="false" customHeight="true" outlineLevel="0" collapsed="false">
      <c r="A10" s="65" t="s">
        <v>261</v>
      </c>
      <c r="B10" s="65" t="s">
        <v>258</v>
      </c>
      <c r="C10" s="66" t="s">
        <v>262</v>
      </c>
      <c r="D10" s="66" t="s">
        <v>263</v>
      </c>
      <c r="E10" s="67" t="s">
        <v>249</v>
      </c>
      <c r="F10" s="67"/>
      <c r="G10" s="68" t="str">
        <f aca="false">IF(F10="","",IFERROR(INDEX(Lists!$B$2:$B$6,MATCH(F10,Lists!$A$2:$A$6,0)),""))</f>
        <v/>
      </c>
      <c r="H10" s="69" t="str">
        <f aca="false">IF(E10="Not Applicable","Not Applicable",IF(F10="","Not Started",IFERROR(INDEX(Lists!$C$2:$C$6,MATCH(F10,Lists!$A$2:$A$6,0)),"")))</f>
        <v>Not Started</v>
      </c>
      <c r="I10" s="70" t="str">
        <f aca="false">IF(E10="Not Applicable","N/A",IF(F10="","",F10/4))</f>
        <v/>
      </c>
      <c r="J10" s="71"/>
      <c r="K10" s="71"/>
      <c r="L10" s="71"/>
      <c r="M10" s="72"/>
      <c r="N10" s="73" t="s">
        <v>258</v>
      </c>
    </row>
    <row r="11" customFormat="false" ht="19.5" hidden="false" customHeight="true" outlineLevel="0" collapsed="false">
      <c r="A11" s="64" t="s">
        <v>264</v>
      </c>
      <c r="B11" s="64"/>
      <c r="C11" s="64"/>
      <c r="D11" s="64"/>
      <c r="E11" s="64"/>
      <c r="F11" s="64"/>
      <c r="G11" s="64"/>
      <c r="H11" s="64"/>
      <c r="I11" s="64"/>
      <c r="J11" s="64"/>
      <c r="K11" s="64"/>
      <c r="L11" s="64"/>
      <c r="M11" s="64"/>
    </row>
    <row r="12" customFormat="false" ht="46.5" hidden="false" customHeight="true" outlineLevel="0" collapsed="false">
      <c r="A12" s="65" t="s">
        <v>265</v>
      </c>
      <c r="B12" s="65" t="s">
        <v>266</v>
      </c>
      <c r="C12" s="66" t="s">
        <v>267</v>
      </c>
      <c r="D12" s="66" t="s">
        <v>268</v>
      </c>
      <c r="E12" s="67" t="s">
        <v>249</v>
      </c>
      <c r="F12" s="67"/>
      <c r="G12" s="68" t="str">
        <f aca="false">IF(F12="","",IFERROR(INDEX(Lists!$B$2:$B$6,MATCH(F12,Lists!$A$2:$A$6,0)),""))</f>
        <v/>
      </c>
      <c r="H12" s="69" t="str">
        <f aca="false">IF(E12="Not Applicable","Not Applicable",IF(F12="","Not Started",IFERROR(INDEX(Lists!$C$2:$C$6,MATCH(F12,Lists!$A$2:$A$6,0)),"")))</f>
        <v>Not Started</v>
      </c>
      <c r="I12" s="70" t="str">
        <f aca="false">IF(E12="Not Applicable","N/A",IF(F12="","",F12/4))</f>
        <v/>
      </c>
      <c r="J12" s="71"/>
      <c r="K12" s="71"/>
      <c r="L12" s="71"/>
      <c r="M12" s="72"/>
      <c r="N12" s="73" t="s">
        <v>266</v>
      </c>
    </row>
    <row r="13" customFormat="false" ht="33.75" hidden="false" customHeight="true" outlineLevel="0" collapsed="false">
      <c r="A13" s="65" t="s">
        <v>269</v>
      </c>
      <c r="B13" s="65" t="s">
        <v>266</v>
      </c>
      <c r="C13" s="66" t="s">
        <v>270</v>
      </c>
      <c r="D13" s="66" t="s">
        <v>271</v>
      </c>
      <c r="E13" s="67" t="s">
        <v>249</v>
      </c>
      <c r="F13" s="67"/>
      <c r="G13" s="68" t="str">
        <f aca="false">IF(F13="","",IFERROR(INDEX(Lists!$B$2:$B$6,MATCH(F13,Lists!$A$2:$A$6,0)),""))</f>
        <v/>
      </c>
      <c r="H13" s="69" t="str">
        <f aca="false">IF(E13="Not Applicable","Not Applicable",IF(F13="","Not Started",IFERROR(INDEX(Lists!$C$2:$C$6,MATCH(F13,Lists!$A$2:$A$6,0)),"")))</f>
        <v>Not Started</v>
      </c>
      <c r="I13" s="70" t="str">
        <f aca="false">IF(E13="Not Applicable","N/A",IF(F13="","",F13/4))</f>
        <v/>
      </c>
      <c r="J13" s="71"/>
      <c r="K13" s="71"/>
      <c r="L13" s="71"/>
      <c r="M13" s="72"/>
      <c r="N13" s="73" t="s">
        <v>266</v>
      </c>
    </row>
    <row r="14" customFormat="false" ht="33.75" hidden="false" customHeight="true" outlineLevel="0" collapsed="false">
      <c r="A14" s="65" t="s">
        <v>272</v>
      </c>
      <c r="B14" s="65" t="s">
        <v>266</v>
      </c>
      <c r="C14" s="66" t="s">
        <v>273</v>
      </c>
      <c r="D14" s="66" t="s">
        <v>274</v>
      </c>
      <c r="E14" s="67" t="s">
        <v>249</v>
      </c>
      <c r="F14" s="67"/>
      <c r="G14" s="68" t="str">
        <f aca="false">IF(F14="","",IFERROR(INDEX(Lists!$B$2:$B$6,MATCH(F14,Lists!$A$2:$A$6,0)),""))</f>
        <v/>
      </c>
      <c r="H14" s="69" t="str">
        <f aca="false">IF(E14="Not Applicable","Not Applicable",IF(F14="","Not Started",IFERROR(INDEX(Lists!$C$2:$C$6,MATCH(F14,Lists!$A$2:$A$6,0)),"")))</f>
        <v>Not Started</v>
      </c>
      <c r="I14" s="70" t="str">
        <f aca="false">IF(E14="Not Applicable","N/A",IF(F14="","",F14/4))</f>
        <v/>
      </c>
      <c r="J14" s="71"/>
      <c r="K14" s="71"/>
      <c r="L14" s="71"/>
      <c r="M14" s="72"/>
      <c r="N14" s="73" t="s">
        <v>266</v>
      </c>
    </row>
    <row r="15" customFormat="false" ht="46.5" hidden="false" customHeight="true" outlineLevel="0" collapsed="false">
      <c r="A15" s="65" t="s">
        <v>275</v>
      </c>
      <c r="B15" s="65" t="s">
        <v>266</v>
      </c>
      <c r="C15" s="66" t="s">
        <v>276</v>
      </c>
      <c r="D15" s="66" t="s">
        <v>277</v>
      </c>
      <c r="E15" s="67" t="s">
        <v>249</v>
      </c>
      <c r="F15" s="67"/>
      <c r="G15" s="68" t="str">
        <f aca="false">IF(F15="","",IFERROR(INDEX(Lists!$B$2:$B$6,MATCH(F15,Lists!$A$2:$A$6,0)),""))</f>
        <v/>
      </c>
      <c r="H15" s="69" t="str">
        <f aca="false">IF(E15="Not Applicable","Not Applicable",IF(F15="","Not Started",IFERROR(INDEX(Lists!$C$2:$C$6,MATCH(F15,Lists!$A$2:$A$6,0)),"")))</f>
        <v>Not Started</v>
      </c>
      <c r="I15" s="70" t="str">
        <f aca="false">IF(E15="Not Applicable","N/A",IF(F15="","",F15/4))</f>
        <v/>
      </c>
      <c r="J15" s="71"/>
      <c r="K15" s="71"/>
      <c r="L15" s="71"/>
      <c r="M15" s="72"/>
      <c r="N15" s="73" t="s">
        <v>266</v>
      </c>
    </row>
    <row r="16" customFormat="false" ht="60" hidden="false" customHeight="true" outlineLevel="0" collapsed="false">
      <c r="A16" s="65" t="s">
        <v>278</v>
      </c>
      <c r="B16" s="65" t="s">
        <v>266</v>
      </c>
      <c r="C16" s="66" t="s">
        <v>279</v>
      </c>
      <c r="D16" s="66" t="s">
        <v>280</v>
      </c>
      <c r="E16" s="67" t="s">
        <v>249</v>
      </c>
      <c r="F16" s="67"/>
      <c r="G16" s="68" t="str">
        <f aca="false">IF(F16="","",IFERROR(INDEX(Lists!$B$2:$B$6,MATCH(F16,Lists!$A$2:$A$6,0)),""))</f>
        <v/>
      </c>
      <c r="H16" s="69" t="str">
        <f aca="false">IF(E16="Not Applicable","Not Applicable",IF(F16="","Not Started",IFERROR(INDEX(Lists!$C$2:$C$6,MATCH(F16,Lists!$A$2:$A$6,0)),"")))</f>
        <v>Not Started</v>
      </c>
      <c r="I16" s="70" t="str">
        <f aca="false">IF(E16="Not Applicable","N/A",IF(F16="","",F16/4))</f>
        <v/>
      </c>
      <c r="J16" s="71"/>
      <c r="K16" s="71"/>
      <c r="L16" s="71"/>
      <c r="M16" s="72"/>
      <c r="N16" s="73" t="s">
        <v>266</v>
      </c>
    </row>
    <row r="17" customFormat="false" ht="19.5" hidden="false" customHeight="true" outlineLevel="0" collapsed="false">
      <c r="A17" s="64" t="s">
        <v>281</v>
      </c>
      <c r="B17" s="64"/>
      <c r="C17" s="64"/>
      <c r="D17" s="64"/>
      <c r="E17" s="64"/>
      <c r="F17" s="64"/>
      <c r="G17" s="64"/>
      <c r="H17" s="64"/>
      <c r="I17" s="64"/>
      <c r="J17" s="64"/>
      <c r="K17" s="64"/>
      <c r="L17" s="64"/>
      <c r="M17" s="64"/>
    </row>
    <row r="18" customFormat="false" ht="60" hidden="false" customHeight="true" outlineLevel="0" collapsed="false">
      <c r="A18" s="65" t="s">
        <v>282</v>
      </c>
      <c r="B18" s="65" t="s">
        <v>283</v>
      </c>
      <c r="C18" s="66" t="s">
        <v>284</v>
      </c>
      <c r="D18" s="66" t="s">
        <v>285</v>
      </c>
      <c r="E18" s="67" t="s">
        <v>249</v>
      </c>
      <c r="F18" s="67"/>
      <c r="G18" s="68" t="str">
        <f aca="false">IF(F18="","",IFERROR(INDEX(Lists!$B$2:$B$6,MATCH(F18,Lists!$A$2:$A$6,0)),""))</f>
        <v/>
      </c>
      <c r="H18" s="69" t="str">
        <f aca="false">IF(E18="Not Applicable","Not Applicable",IF(F18="","Not Started",IFERROR(INDEX(Lists!$C$2:$C$6,MATCH(F18,Lists!$A$2:$A$6,0)),"")))</f>
        <v>Not Started</v>
      </c>
      <c r="I18" s="70" t="str">
        <f aca="false">IF(E18="Not Applicable","N/A",IF(F18="","",F18/4))</f>
        <v/>
      </c>
      <c r="J18" s="71"/>
      <c r="K18" s="71"/>
      <c r="L18" s="71"/>
      <c r="M18" s="72"/>
      <c r="N18" s="73" t="s">
        <v>283</v>
      </c>
    </row>
    <row r="19" customFormat="false" ht="46.5" hidden="false" customHeight="true" outlineLevel="0" collapsed="false">
      <c r="A19" s="65" t="s">
        <v>286</v>
      </c>
      <c r="B19" s="65" t="s">
        <v>283</v>
      </c>
      <c r="C19" s="66" t="s">
        <v>287</v>
      </c>
      <c r="D19" s="66" t="s">
        <v>288</v>
      </c>
      <c r="E19" s="67" t="s">
        <v>249</v>
      </c>
      <c r="F19" s="67"/>
      <c r="G19" s="68" t="str">
        <f aca="false">IF(F19="","",IFERROR(INDEX(Lists!$B$2:$B$6,MATCH(F19,Lists!$A$2:$A$6,0)),""))</f>
        <v/>
      </c>
      <c r="H19" s="69" t="str">
        <f aca="false">IF(E19="Not Applicable","Not Applicable",IF(F19="","Not Started",IFERROR(INDEX(Lists!$C$2:$C$6,MATCH(F19,Lists!$A$2:$A$6,0)),"")))</f>
        <v>Not Started</v>
      </c>
      <c r="I19" s="70" t="str">
        <f aca="false">IF(E19="Not Applicable","N/A",IF(F19="","",F19/4))</f>
        <v/>
      </c>
      <c r="J19" s="71"/>
      <c r="K19" s="71"/>
      <c r="L19" s="71"/>
      <c r="M19" s="72"/>
      <c r="N19" s="73" t="s">
        <v>283</v>
      </c>
    </row>
    <row r="20" customFormat="false" ht="60" hidden="false" customHeight="true" outlineLevel="0" collapsed="false">
      <c r="A20" s="65" t="s">
        <v>289</v>
      </c>
      <c r="B20" s="65" t="s">
        <v>283</v>
      </c>
      <c r="C20" s="66" t="s">
        <v>290</v>
      </c>
      <c r="D20" s="66" t="s">
        <v>291</v>
      </c>
      <c r="E20" s="67" t="s">
        <v>249</v>
      </c>
      <c r="F20" s="67"/>
      <c r="G20" s="68" t="str">
        <f aca="false">IF(F20="","",IFERROR(INDEX(Lists!$B$2:$B$6,MATCH(F20,Lists!$A$2:$A$6,0)),""))</f>
        <v/>
      </c>
      <c r="H20" s="69" t="str">
        <f aca="false">IF(E20="Not Applicable","Not Applicable",IF(F20="","Not Started",IFERROR(INDEX(Lists!$C$2:$C$6,MATCH(F20,Lists!$A$2:$A$6,0)),"")))</f>
        <v>Not Started</v>
      </c>
      <c r="I20" s="70" t="str">
        <f aca="false">IF(E20="Not Applicable","N/A",IF(F20="","",F20/4))</f>
        <v/>
      </c>
      <c r="J20" s="71"/>
      <c r="K20" s="71"/>
      <c r="L20" s="71"/>
      <c r="M20" s="72"/>
      <c r="N20" s="73" t="s">
        <v>283</v>
      </c>
    </row>
    <row r="21" customFormat="false" ht="46.5" hidden="false" customHeight="true" outlineLevel="0" collapsed="false">
      <c r="A21" s="65" t="s">
        <v>292</v>
      </c>
      <c r="B21" s="65" t="s">
        <v>283</v>
      </c>
      <c r="C21" s="66" t="s">
        <v>293</v>
      </c>
      <c r="D21" s="66" t="s">
        <v>294</v>
      </c>
      <c r="E21" s="67" t="s">
        <v>249</v>
      </c>
      <c r="F21" s="67"/>
      <c r="G21" s="68" t="str">
        <f aca="false">IF(F21="","",IFERROR(INDEX(Lists!$B$2:$B$6,MATCH(F21,Lists!$A$2:$A$6,0)),""))</f>
        <v/>
      </c>
      <c r="H21" s="69" t="str">
        <f aca="false">IF(E21="Not Applicable","Not Applicable",IF(F21="","Not Started",IFERROR(INDEX(Lists!$C$2:$C$6,MATCH(F21,Lists!$A$2:$A$6,0)),"")))</f>
        <v>Not Started</v>
      </c>
      <c r="I21" s="70" t="str">
        <f aca="false">IF(E21="Not Applicable","N/A",IF(F21="","",F21/4))</f>
        <v/>
      </c>
      <c r="J21" s="71"/>
      <c r="K21" s="71"/>
      <c r="L21" s="71"/>
      <c r="M21" s="72"/>
      <c r="N21" s="73" t="s">
        <v>283</v>
      </c>
    </row>
    <row r="22" customFormat="false" ht="19.5" hidden="false" customHeight="true" outlineLevel="0" collapsed="false">
      <c r="A22" s="64" t="s">
        <v>295</v>
      </c>
      <c r="B22" s="64"/>
      <c r="C22" s="64"/>
      <c r="D22" s="64"/>
      <c r="E22" s="64"/>
      <c r="F22" s="64"/>
      <c r="G22" s="64"/>
      <c r="H22" s="64"/>
      <c r="I22" s="64"/>
      <c r="J22" s="64"/>
      <c r="K22" s="64"/>
      <c r="L22" s="64"/>
      <c r="M22" s="64"/>
    </row>
    <row r="23" customFormat="false" ht="60" hidden="false" customHeight="true" outlineLevel="0" collapsed="false">
      <c r="A23" s="65" t="s">
        <v>296</v>
      </c>
      <c r="B23" s="65" t="s">
        <v>297</v>
      </c>
      <c r="C23" s="66" t="s">
        <v>298</v>
      </c>
      <c r="D23" s="66" t="s">
        <v>299</v>
      </c>
      <c r="E23" s="67" t="s">
        <v>249</v>
      </c>
      <c r="F23" s="67"/>
      <c r="G23" s="68" t="str">
        <f aca="false">IF(F23="","",IFERROR(INDEX(Lists!$B$2:$B$6,MATCH(F23,Lists!$A$2:$A$6,0)),""))</f>
        <v/>
      </c>
      <c r="H23" s="69" t="str">
        <f aca="false">IF(E23="Not Applicable","Not Applicable",IF(F23="","Not Started",IFERROR(INDEX(Lists!$C$2:$C$6,MATCH(F23,Lists!$A$2:$A$6,0)),"")))</f>
        <v>Not Started</v>
      </c>
      <c r="I23" s="70" t="str">
        <f aca="false">IF(E23="Not Applicable","N/A",IF(F23="","",F23/4))</f>
        <v/>
      </c>
      <c r="J23" s="71"/>
      <c r="K23" s="71"/>
      <c r="L23" s="71"/>
      <c r="M23" s="72"/>
      <c r="N23" s="73" t="s">
        <v>297</v>
      </c>
    </row>
    <row r="24" customFormat="false" ht="46.5" hidden="false" customHeight="true" outlineLevel="0" collapsed="false">
      <c r="A24" s="65" t="s">
        <v>300</v>
      </c>
      <c r="B24" s="65" t="s">
        <v>297</v>
      </c>
      <c r="C24" s="66" t="s">
        <v>301</v>
      </c>
      <c r="D24" s="66" t="s">
        <v>302</v>
      </c>
      <c r="E24" s="67" t="s">
        <v>249</v>
      </c>
      <c r="F24" s="67"/>
      <c r="G24" s="68" t="str">
        <f aca="false">IF(F24="","",IFERROR(INDEX(Lists!$B$2:$B$6,MATCH(F24,Lists!$A$2:$A$6,0)),""))</f>
        <v/>
      </c>
      <c r="H24" s="69" t="str">
        <f aca="false">IF(E24="Not Applicable","Not Applicable",IF(F24="","Not Started",IFERROR(INDEX(Lists!$C$2:$C$6,MATCH(F24,Lists!$A$2:$A$6,0)),"")))</f>
        <v>Not Started</v>
      </c>
      <c r="I24" s="70" t="str">
        <f aca="false">IF(E24="Not Applicable","N/A",IF(F24="","",F24/4))</f>
        <v/>
      </c>
      <c r="J24" s="71"/>
      <c r="K24" s="71"/>
      <c r="L24" s="71"/>
      <c r="M24" s="72"/>
      <c r="N24" s="73" t="s">
        <v>297</v>
      </c>
    </row>
    <row r="25" customFormat="false" ht="46.5" hidden="false" customHeight="true" outlineLevel="0" collapsed="false">
      <c r="A25" s="65" t="s">
        <v>303</v>
      </c>
      <c r="B25" s="65" t="s">
        <v>297</v>
      </c>
      <c r="C25" s="66" t="s">
        <v>304</v>
      </c>
      <c r="D25" s="66" t="s">
        <v>305</v>
      </c>
      <c r="E25" s="67" t="s">
        <v>249</v>
      </c>
      <c r="F25" s="67"/>
      <c r="G25" s="68" t="str">
        <f aca="false">IF(F25="","",IFERROR(INDEX(Lists!$B$2:$B$6,MATCH(F25,Lists!$A$2:$A$6,0)),""))</f>
        <v/>
      </c>
      <c r="H25" s="69" t="str">
        <f aca="false">IF(E25="Not Applicable","Not Applicable",IF(F25="","Not Started",IFERROR(INDEX(Lists!$C$2:$C$6,MATCH(F25,Lists!$A$2:$A$6,0)),"")))</f>
        <v>Not Started</v>
      </c>
      <c r="I25" s="70" t="str">
        <f aca="false">IF(E25="Not Applicable","N/A",IF(F25="","",F25/4))</f>
        <v/>
      </c>
      <c r="J25" s="71"/>
      <c r="K25" s="71"/>
      <c r="L25" s="71"/>
      <c r="M25" s="72"/>
      <c r="N25" s="73" t="s">
        <v>297</v>
      </c>
    </row>
    <row r="26" customFormat="false" ht="60" hidden="false" customHeight="true" outlineLevel="0" collapsed="false">
      <c r="A26" s="65" t="s">
        <v>306</v>
      </c>
      <c r="B26" s="65" t="s">
        <v>297</v>
      </c>
      <c r="C26" s="66" t="s">
        <v>307</v>
      </c>
      <c r="D26" s="66" t="s">
        <v>308</v>
      </c>
      <c r="E26" s="67" t="s">
        <v>249</v>
      </c>
      <c r="F26" s="67"/>
      <c r="G26" s="68" t="str">
        <f aca="false">IF(F26="","",IFERROR(INDEX(Lists!$B$2:$B$6,MATCH(F26,Lists!$A$2:$A$6,0)),""))</f>
        <v/>
      </c>
      <c r="H26" s="69" t="str">
        <f aca="false">IF(E26="Not Applicable","Not Applicable",IF(F26="","Not Started",IFERROR(INDEX(Lists!$C$2:$C$6,MATCH(F26,Lists!$A$2:$A$6,0)),"")))</f>
        <v>Not Started</v>
      </c>
      <c r="I26" s="70" t="str">
        <f aca="false">IF(E26="Not Applicable","N/A",IF(F26="","",F26/4))</f>
        <v/>
      </c>
      <c r="J26" s="71"/>
      <c r="K26" s="71"/>
      <c r="L26" s="71"/>
      <c r="M26" s="72"/>
      <c r="N26" s="73" t="s">
        <v>297</v>
      </c>
    </row>
    <row r="27" customFormat="false" ht="46.5" hidden="false" customHeight="true" outlineLevel="0" collapsed="false">
      <c r="A27" s="65" t="s">
        <v>309</v>
      </c>
      <c r="B27" s="65" t="s">
        <v>297</v>
      </c>
      <c r="C27" s="66" t="s">
        <v>310</v>
      </c>
      <c r="D27" s="66" t="s">
        <v>311</v>
      </c>
      <c r="E27" s="67" t="s">
        <v>249</v>
      </c>
      <c r="F27" s="67"/>
      <c r="G27" s="68" t="str">
        <f aca="false">IF(F27="","",IFERROR(INDEX(Lists!$B$2:$B$6,MATCH(F27,Lists!$A$2:$A$6,0)),""))</f>
        <v/>
      </c>
      <c r="H27" s="69" t="str">
        <f aca="false">IF(E27="Not Applicable","Not Applicable",IF(F27="","Not Started",IFERROR(INDEX(Lists!$C$2:$C$6,MATCH(F27,Lists!$A$2:$A$6,0)),"")))</f>
        <v>Not Started</v>
      </c>
      <c r="I27" s="70" t="str">
        <f aca="false">IF(E27="Not Applicable","N/A",IF(F27="","",F27/4))</f>
        <v/>
      </c>
      <c r="J27" s="71"/>
      <c r="K27" s="71"/>
      <c r="L27" s="71"/>
      <c r="M27" s="72"/>
      <c r="N27" s="73" t="s">
        <v>297</v>
      </c>
    </row>
    <row r="28" customFormat="false" ht="46.5" hidden="false" customHeight="true" outlineLevel="0" collapsed="false">
      <c r="A28" s="65" t="s">
        <v>312</v>
      </c>
      <c r="B28" s="65" t="s">
        <v>297</v>
      </c>
      <c r="C28" s="66" t="s">
        <v>313</v>
      </c>
      <c r="D28" s="66" t="s">
        <v>314</v>
      </c>
      <c r="E28" s="67" t="s">
        <v>249</v>
      </c>
      <c r="F28" s="67"/>
      <c r="G28" s="68" t="str">
        <f aca="false">IF(F28="","",IFERROR(INDEX(Lists!$B$2:$B$6,MATCH(F28,Lists!$A$2:$A$6,0)),""))</f>
        <v/>
      </c>
      <c r="H28" s="69" t="str">
        <f aca="false">IF(E28="Not Applicable","Not Applicable",IF(F28="","Not Started",IFERROR(INDEX(Lists!$C$2:$C$6,MATCH(F28,Lists!$A$2:$A$6,0)),"")))</f>
        <v>Not Started</v>
      </c>
      <c r="I28" s="70" t="str">
        <f aca="false">IF(E28="Not Applicable","N/A",IF(F28="","",F28/4))</f>
        <v/>
      </c>
      <c r="J28" s="71"/>
      <c r="K28" s="71"/>
      <c r="L28" s="71"/>
      <c r="M28" s="72"/>
      <c r="N28" s="73" t="s">
        <v>297</v>
      </c>
    </row>
    <row r="29" customFormat="false" ht="46.5" hidden="false" customHeight="true" outlineLevel="0" collapsed="false">
      <c r="A29" s="65" t="s">
        <v>315</v>
      </c>
      <c r="B29" s="65" t="s">
        <v>297</v>
      </c>
      <c r="C29" s="66" t="s">
        <v>316</v>
      </c>
      <c r="D29" s="66" t="s">
        <v>317</v>
      </c>
      <c r="E29" s="67" t="s">
        <v>249</v>
      </c>
      <c r="F29" s="67"/>
      <c r="G29" s="68" t="str">
        <f aca="false">IF(F29="","",IFERROR(INDEX(Lists!$B$2:$B$6,MATCH(F29,Lists!$A$2:$A$6,0)),""))</f>
        <v/>
      </c>
      <c r="H29" s="69" t="str">
        <f aca="false">IF(E29="Not Applicable","Not Applicable",IF(F29="","Not Started",IFERROR(INDEX(Lists!$C$2:$C$6,MATCH(F29,Lists!$A$2:$A$6,0)),"")))</f>
        <v>Not Started</v>
      </c>
      <c r="I29" s="70" t="str">
        <f aca="false">IF(E29="Not Applicable","N/A",IF(F29="","",F29/4))</f>
        <v/>
      </c>
      <c r="J29" s="71"/>
      <c r="K29" s="71"/>
      <c r="L29" s="71"/>
      <c r="M29" s="72"/>
      <c r="N29" s="73" t="s">
        <v>297</v>
      </c>
    </row>
    <row r="30" customFormat="false" ht="46.5" hidden="false" customHeight="true" outlineLevel="0" collapsed="false">
      <c r="A30" s="65" t="s">
        <v>318</v>
      </c>
      <c r="B30" s="65" t="s">
        <v>297</v>
      </c>
      <c r="C30" s="66" t="s">
        <v>319</v>
      </c>
      <c r="D30" s="66" t="s">
        <v>320</v>
      </c>
      <c r="E30" s="67" t="s">
        <v>249</v>
      </c>
      <c r="F30" s="67"/>
      <c r="G30" s="68" t="str">
        <f aca="false">IF(F30="","",IFERROR(INDEX(Lists!$B$2:$B$6,MATCH(F30,Lists!$A$2:$A$6,0)),""))</f>
        <v/>
      </c>
      <c r="H30" s="69" t="str">
        <f aca="false">IF(E30="Not Applicable","Not Applicable",IF(F30="","Not Started",IFERROR(INDEX(Lists!$C$2:$C$6,MATCH(F30,Lists!$A$2:$A$6,0)),"")))</f>
        <v>Not Started</v>
      </c>
      <c r="I30" s="70" t="str">
        <f aca="false">IF(E30="Not Applicable","N/A",IF(F30="","",F30/4))</f>
        <v/>
      </c>
      <c r="J30" s="71"/>
      <c r="K30" s="71"/>
      <c r="L30" s="71"/>
      <c r="M30" s="72"/>
      <c r="N30" s="73" t="s">
        <v>297</v>
      </c>
    </row>
    <row r="31" customFormat="false" ht="46.5" hidden="false" customHeight="true" outlineLevel="0" collapsed="false">
      <c r="A31" s="65" t="s">
        <v>321</v>
      </c>
      <c r="B31" s="65" t="s">
        <v>297</v>
      </c>
      <c r="C31" s="66" t="s">
        <v>322</v>
      </c>
      <c r="D31" s="66" t="s">
        <v>323</v>
      </c>
      <c r="E31" s="67" t="s">
        <v>249</v>
      </c>
      <c r="F31" s="67"/>
      <c r="G31" s="68" t="str">
        <f aca="false">IF(F31="","",IFERROR(INDEX(Lists!$B$2:$B$6,MATCH(F31,Lists!$A$2:$A$6,0)),""))</f>
        <v/>
      </c>
      <c r="H31" s="69" t="str">
        <f aca="false">IF(E31="Not Applicable","Not Applicable",IF(F31="","Not Started",IFERROR(INDEX(Lists!$C$2:$C$6,MATCH(F31,Lists!$A$2:$A$6,0)),"")))</f>
        <v>Not Started</v>
      </c>
      <c r="I31" s="70" t="str">
        <f aca="false">IF(E31="Not Applicable","N/A",IF(F31="","",F31/4))</f>
        <v/>
      </c>
      <c r="J31" s="71"/>
      <c r="K31" s="71"/>
      <c r="L31" s="71"/>
      <c r="M31" s="72"/>
      <c r="N31" s="73" t="s">
        <v>297</v>
      </c>
    </row>
    <row r="32" customFormat="false" ht="19.5" hidden="false" customHeight="true" outlineLevel="0" collapsed="false">
      <c r="A32" s="64" t="s">
        <v>324</v>
      </c>
      <c r="B32" s="64"/>
      <c r="C32" s="64"/>
      <c r="D32" s="64"/>
      <c r="E32" s="64"/>
      <c r="F32" s="64"/>
      <c r="G32" s="64"/>
      <c r="H32" s="64"/>
      <c r="I32" s="64"/>
      <c r="J32" s="64"/>
      <c r="K32" s="64"/>
      <c r="L32" s="64"/>
      <c r="M32" s="64"/>
    </row>
    <row r="33" customFormat="false" ht="46.5" hidden="false" customHeight="true" outlineLevel="0" collapsed="false">
      <c r="A33" s="65" t="s">
        <v>325</v>
      </c>
      <c r="B33" s="65" t="s">
        <v>326</v>
      </c>
      <c r="C33" s="66" t="s">
        <v>327</v>
      </c>
      <c r="D33" s="66" t="s">
        <v>328</v>
      </c>
      <c r="E33" s="67" t="s">
        <v>249</v>
      </c>
      <c r="F33" s="67"/>
      <c r="G33" s="68" t="str">
        <f aca="false">IF(F33="","",IFERROR(INDEX(Lists!$B$2:$B$6,MATCH(F33,Lists!$A$2:$A$6,0)),""))</f>
        <v/>
      </c>
      <c r="H33" s="69" t="str">
        <f aca="false">IF(E33="Not Applicable","Not Applicable",IF(F33="","Not Started",IFERROR(INDEX(Lists!$C$2:$C$6,MATCH(F33,Lists!$A$2:$A$6,0)),"")))</f>
        <v>Not Started</v>
      </c>
      <c r="I33" s="70" t="str">
        <f aca="false">IF(E33="Not Applicable","N/A",IF(F33="","",F33/4))</f>
        <v/>
      </c>
      <c r="J33" s="71"/>
      <c r="K33" s="71"/>
      <c r="L33" s="71"/>
      <c r="M33" s="72"/>
      <c r="N33" s="73" t="s">
        <v>326</v>
      </c>
    </row>
    <row r="34" customFormat="false" ht="46.5" hidden="false" customHeight="true" outlineLevel="0" collapsed="false">
      <c r="A34" s="65" t="s">
        <v>329</v>
      </c>
      <c r="B34" s="65" t="s">
        <v>326</v>
      </c>
      <c r="C34" s="66" t="s">
        <v>330</v>
      </c>
      <c r="D34" s="66" t="s">
        <v>331</v>
      </c>
      <c r="E34" s="67" t="s">
        <v>249</v>
      </c>
      <c r="F34" s="67"/>
      <c r="G34" s="68" t="str">
        <f aca="false">IF(F34="","",IFERROR(INDEX(Lists!$B$2:$B$6,MATCH(F34,Lists!$A$2:$A$6,0)),""))</f>
        <v/>
      </c>
      <c r="H34" s="69" t="str">
        <f aca="false">IF(E34="Not Applicable","Not Applicable",IF(F34="","Not Started",IFERROR(INDEX(Lists!$C$2:$C$6,MATCH(F34,Lists!$A$2:$A$6,0)),"")))</f>
        <v>Not Started</v>
      </c>
      <c r="I34" s="70" t="str">
        <f aca="false">IF(E34="Not Applicable","N/A",IF(F34="","",F34/4))</f>
        <v/>
      </c>
      <c r="J34" s="71"/>
      <c r="K34" s="71"/>
      <c r="L34" s="71"/>
      <c r="M34" s="72"/>
      <c r="N34" s="73" t="s">
        <v>326</v>
      </c>
    </row>
    <row r="35" customFormat="false" ht="46.5" hidden="false" customHeight="true" outlineLevel="0" collapsed="false">
      <c r="A35" s="65" t="s">
        <v>332</v>
      </c>
      <c r="B35" s="65" t="s">
        <v>326</v>
      </c>
      <c r="C35" s="66" t="s">
        <v>333</v>
      </c>
      <c r="D35" s="66" t="s">
        <v>334</v>
      </c>
      <c r="E35" s="67" t="s">
        <v>249</v>
      </c>
      <c r="F35" s="67"/>
      <c r="G35" s="68" t="str">
        <f aca="false">IF(F35="","",IFERROR(INDEX(Lists!$B$2:$B$6,MATCH(F35,Lists!$A$2:$A$6,0)),""))</f>
        <v/>
      </c>
      <c r="H35" s="69" t="str">
        <f aca="false">IF(E35="Not Applicable","Not Applicable",IF(F35="","Not Started",IFERROR(INDEX(Lists!$C$2:$C$6,MATCH(F35,Lists!$A$2:$A$6,0)),"")))</f>
        <v>Not Started</v>
      </c>
      <c r="I35" s="70" t="str">
        <f aca="false">IF(E35="Not Applicable","N/A",IF(F35="","",F35/4))</f>
        <v/>
      </c>
      <c r="J35" s="71"/>
      <c r="K35" s="71"/>
      <c r="L35" s="71"/>
      <c r="M35" s="72"/>
      <c r="N35" s="73" t="s">
        <v>326</v>
      </c>
    </row>
    <row r="36" customFormat="false" ht="60" hidden="false" customHeight="true" outlineLevel="0" collapsed="false">
      <c r="A36" s="65" t="s">
        <v>335</v>
      </c>
      <c r="B36" s="65" t="s">
        <v>326</v>
      </c>
      <c r="C36" s="66" t="s">
        <v>336</v>
      </c>
      <c r="D36" s="66" t="s">
        <v>337</v>
      </c>
      <c r="E36" s="67" t="s">
        <v>249</v>
      </c>
      <c r="F36" s="67"/>
      <c r="G36" s="68" t="str">
        <f aca="false">IF(F36="","",IFERROR(INDEX(Lists!$B$2:$B$6,MATCH(F36,Lists!$A$2:$A$6,0)),""))</f>
        <v/>
      </c>
      <c r="H36" s="69" t="str">
        <f aca="false">IF(E36="Not Applicable","Not Applicable",IF(F36="","Not Started",IFERROR(INDEX(Lists!$C$2:$C$6,MATCH(F36,Lists!$A$2:$A$6,0)),"")))</f>
        <v>Not Started</v>
      </c>
      <c r="I36" s="70" t="str">
        <f aca="false">IF(E36="Not Applicable","N/A",IF(F36="","",F36/4))</f>
        <v/>
      </c>
      <c r="J36" s="71"/>
      <c r="K36" s="71"/>
      <c r="L36" s="71"/>
      <c r="M36" s="72"/>
      <c r="N36" s="73" t="s">
        <v>326</v>
      </c>
    </row>
    <row r="37" customFormat="false" ht="46.5" hidden="false" customHeight="true" outlineLevel="0" collapsed="false">
      <c r="A37" s="65" t="s">
        <v>338</v>
      </c>
      <c r="B37" s="65" t="s">
        <v>326</v>
      </c>
      <c r="C37" s="66" t="s">
        <v>339</v>
      </c>
      <c r="D37" s="66" t="s">
        <v>340</v>
      </c>
      <c r="E37" s="67" t="s">
        <v>249</v>
      </c>
      <c r="F37" s="67"/>
      <c r="G37" s="68" t="str">
        <f aca="false">IF(F37="","",IFERROR(INDEX(Lists!$B$2:$B$6,MATCH(F37,Lists!$A$2:$A$6,0)),""))</f>
        <v/>
      </c>
      <c r="H37" s="69" t="str">
        <f aca="false">IF(E37="Not Applicable","Not Applicable",IF(F37="","Not Started",IFERROR(INDEX(Lists!$C$2:$C$6,MATCH(F37,Lists!$A$2:$A$6,0)),"")))</f>
        <v>Not Started</v>
      </c>
      <c r="I37" s="70" t="str">
        <f aca="false">IF(E37="Not Applicable","N/A",IF(F37="","",F37/4))</f>
        <v/>
      </c>
      <c r="J37" s="71"/>
      <c r="K37" s="71"/>
      <c r="L37" s="71"/>
      <c r="M37" s="72"/>
      <c r="N37" s="73" t="s">
        <v>326</v>
      </c>
    </row>
    <row r="38" customFormat="false" ht="19.5" hidden="false" customHeight="true" outlineLevel="0" collapsed="false">
      <c r="A38" s="64" t="s">
        <v>341</v>
      </c>
      <c r="B38" s="64"/>
      <c r="C38" s="64"/>
      <c r="D38" s="64"/>
      <c r="E38" s="64"/>
      <c r="F38" s="64"/>
      <c r="G38" s="64"/>
      <c r="H38" s="64"/>
      <c r="I38" s="64"/>
      <c r="J38" s="64"/>
      <c r="K38" s="64"/>
      <c r="L38" s="64"/>
      <c r="M38" s="64"/>
    </row>
    <row r="39" customFormat="false" ht="46.5" hidden="false" customHeight="true" outlineLevel="0" collapsed="false">
      <c r="A39" s="65" t="s">
        <v>342</v>
      </c>
      <c r="B39" s="65" t="s">
        <v>343</v>
      </c>
      <c r="C39" s="66" t="s">
        <v>344</v>
      </c>
      <c r="D39" s="66" t="s">
        <v>345</v>
      </c>
      <c r="E39" s="67" t="s">
        <v>249</v>
      </c>
      <c r="F39" s="67"/>
      <c r="G39" s="68" t="str">
        <f aca="false">IF(F39="","",IFERROR(INDEX(Lists!$B$2:$B$6,MATCH(F39,Lists!$A$2:$A$6,0)),""))</f>
        <v/>
      </c>
      <c r="H39" s="69" t="str">
        <f aca="false">IF(E39="Not Applicable","Not Applicable",IF(F39="","Not Started",IFERROR(INDEX(Lists!$C$2:$C$6,MATCH(F39,Lists!$A$2:$A$6,0)),"")))</f>
        <v>Not Started</v>
      </c>
      <c r="I39" s="70" t="str">
        <f aca="false">IF(E39="Not Applicable","N/A",IF(F39="","",F39/4))</f>
        <v/>
      </c>
      <c r="J39" s="71"/>
      <c r="K39" s="71"/>
      <c r="L39" s="71"/>
      <c r="M39" s="72"/>
      <c r="N39" s="73" t="s">
        <v>343</v>
      </c>
    </row>
    <row r="40" customFormat="false" ht="46.5" hidden="false" customHeight="true" outlineLevel="0" collapsed="false">
      <c r="A40" s="65" t="s">
        <v>346</v>
      </c>
      <c r="B40" s="65" t="s">
        <v>343</v>
      </c>
      <c r="C40" s="66" t="s">
        <v>347</v>
      </c>
      <c r="D40" s="66" t="s">
        <v>348</v>
      </c>
      <c r="E40" s="67" t="s">
        <v>249</v>
      </c>
      <c r="F40" s="67"/>
      <c r="G40" s="68" t="str">
        <f aca="false">IF(F40="","",IFERROR(INDEX(Lists!$B$2:$B$6,MATCH(F40,Lists!$A$2:$A$6,0)),""))</f>
        <v/>
      </c>
      <c r="H40" s="69" t="str">
        <f aca="false">IF(E40="Not Applicable","Not Applicable",IF(F40="","Not Started",IFERROR(INDEX(Lists!$C$2:$C$6,MATCH(F40,Lists!$A$2:$A$6,0)),"")))</f>
        <v>Not Started</v>
      </c>
      <c r="I40" s="70" t="str">
        <f aca="false">IF(E40="Not Applicable","N/A",IF(F40="","",F40/4))</f>
        <v/>
      </c>
      <c r="J40" s="71"/>
      <c r="K40" s="71"/>
      <c r="L40" s="71"/>
      <c r="M40" s="72"/>
      <c r="N40" s="73" t="s">
        <v>343</v>
      </c>
    </row>
    <row r="41" customFormat="false" ht="46.5" hidden="false" customHeight="true" outlineLevel="0" collapsed="false">
      <c r="A41" s="65" t="s">
        <v>349</v>
      </c>
      <c r="B41" s="65" t="s">
        <v>343</v>
      </c>
      <c r="C41" s="66" t="s">
        <v>350</v>
      </c>
      <c r="D41" s="66" t="s">
        <v>351</v>
      </c>
      <c r="E41" s="67" t="s">
        <v>249</v>
      </c>
      <c r="F41" s="67"/>
      <c r="G41" s="68" t="str">
        <f aca="false">IF(F41="","",IFERROR(INDEX(Lists!$B$2:$B$6,MATCH(F41,Lists!$A$2:$A$6,0)),""))</f>
        <v/>
      </c>
      <c r="H41" s="69" t="str">
        <f aca="false">IF(E41="Not Applicable","Not Applicable",IF(F41="","Not Started",IFERROR(INDEX(Lists!$C$2:$C$6,MATCH(F41,Lists!$A$2:$A$6,0)),"")))</f>
        <v>Not Started</v>
      </c>
      <c r="I41" s="70" t="str">
        <f aca="false">IF(E41="Not Applicable","N/A",IF(F41="","",F41/4))</f>
        <v/>
      </c>
      <c r="J41" s="71"/>
      <c r="K41" s="71"/>
      <c r="L41" s="71"/>
      <c r="M41" s="72"/>
      <c r="N41" s="73" t="s">
        <v>343</v>
      </c>
    </row>
    <row r="42" customFormat="false" ht="60" hidden="false" customHeight="true" outlineLevel="0" collapsed="false">
      <c r="A42" s="65" t="s">
        <v>352</v>
      </c>
      <c r="B42" s="65" t="s">
        <v>343</v>
      </c>
      <c r="C42" s="66" t="s">
        <v>353</v>
      </c>
      <c r="D42" s="66" t="s">
        <v>354</v>
      </c>
      <c r="E42" s="67" t="s">
        <v>249</v>
      </c>
      <c r="F42" s="67"/>
      <c r="G42" s="68" t="str">
        <f aca="false">IF(F42="","",IFERROR(INDEX(Lists!$B$2:$B$6,MATCH(F42,Lists!$A$2:$A$6,0)),""))</f>
        <v/>
      </c>
      <c r="H42" s="69" t="str">
        <f aca="false">IF(E42="Not Applicable","Not Applicable",IF(F42="","Not Started",IFERROR(INDEX(Lists!$C$2:$C$6,MATCH(F42,Lists!$A$2:$A$6,0)),"")))</f>
        <v>Not Started</v>
      </c>
      <c r="I42" s="70" t="str">
        <f aca="false">IF(E42="Not Applicable","N/A",IF(F42="","",F42/4))</f>
        <v/>
      </c>
      <c r="J42" s="71"/>
      <c r="K42" s="71"/>
      <c r="L42" s="71"/>
      <c r="M42" s="72"/>
      <c r="N42" s="73" t="s">
        <v>343</v>
      </c>
    </row>
    <row r="43" customFormat="false" ht="19.5" hidden="false" customHeight="true" outlineLevel="0" collapsed="false">
      <c r="A43" s="64" t="s">
        <v>355</v>
      </c>
      <c r="B43" s="64"/>
      <c r="C43" s="64"/>
      <c r="D43" s="64"/>
      <c r="E43" s="64"/>
      <c r="F43" s="64"/>
      <c r="G43" s="64"/>
      <c r="H43" s="64"/>
      <c r="I43" s="64"/>
      <c r="J43" s="64"/>
      <c r="K43" s="64"/>
      <c r="L43" s="64"/>
      <c r="M43" s="64"/>
    </row>
    <row r="44" customFormat="false" ht="33.75" hidden="false" customHeight="true" outlineLevel="0" collapsed="false">
      <c r="A44" s="65" t="s">
        <v>356</v>
      </c>
      <c r="B44" s="65" t="s">
        <v>357</v>
      </c>
      <c r="C44" s="66" t="s">
        <v>358</v>
      </c>
      <c r="D44" s="66" t="s">
        <v>359</v>
      </c>
      <c r="E44" s="67" t="s">
        <v>249</v>
      </c>
      <c r="F44" s="67"/>
      <c r="G44" s="68" t="str">
        <f aca="false">IF(F44="","",IFERROR(INDEX(Lists!$B$2:$B$6,MATCH(F44,Lists!$A$2:$A$6,0)),""))</f>
        <v/>
      </c>
      <c r="H44" s="69" t="str">
        <f aca="false">IF(E44="Not Applicable","Not Applicable",IF(F44="","Not Started",IFERROR(INDEX(Lists!$C$2:$C$6,MATCH(F44,Lists!$A$2:$A$6,0)),"")))</f>
        <v>Not Started</v>
      </c>
      <c r="I44" s="70" t="str">
        <f aca="false">IF(E44="Not Applicable","N/A",IF(F44="","",F44/4))</f>
        <v/>
      </c>
      <c r="J44" s="71"/>
      <c r="K44" s="71"/>
      <c r="L44" s="71"/>
      <c r="M44" s="72"/>
      <c r="N44" s="73" t="s">
        <v>357</v>
      </c>
    </row>
    <row r="45" customFormat="false" ht="46.5" hidden="false" customHeight="true" outlineLevel="0" collapsed="false">
      <c r="A45" s="65" t="s">
        <v>360</v>
      </c>
      <c r="B45" s="65" t="s">
        <v>357</v>
      </c>
      <c r="C45" s="66" t="s">
        <v>361</v>
      </c>
      <c r="D45" s="66" t="s">
        <v>362</v>
      </c>
      <c r="E45" s="67" t="s">
        <v>249</v>
      </c>
      <c r="F45" s="67"/>
      <c r="G45" s="68" t="str">
        <f aca="false">IF(F45="","",IFERROR(INDEX(Lists!$B$2:$B$6,MATCH(F45,Lists!$A$2:$A$6,0)),""))</f>
        <v/>
      </c>
      <c r="H45" s="69" t="str">
        <f aca="false">IF(E45="Not Applicable","Not Applicable",IF(F45="","Not Started",IFERROR(INDEX(Lists!$C$2:$C$6,MATCH(F45,Lists!$A$2:$A$6,0)),"")))</f>
        <v>Not Started</v>
      </c>
      <c r="I45" s="70" t="str">
        <f aca="false">IF(E45="Not Applicable","N/A",IF(F45="","",F45/4))</f>
        <v/>
      </c>
      <c r="J45" s="71"/>
      <c r="K45" s="71"/>
      <c r="L45" s="71"/>
      <c r="M45" s="72"/>
      <c r="N45" s="73" t="s">
        <v>357</v>
      </c>
    </row>
    <row r="46" customFormat="false" ht="46.5" hidden="false" customHeight="true" outlineLevel="0" collapsed="false">
      <c r="A46" s="65" t="s">
        <v>363</v>
      </c>
      <c r="B46" s="65" t="s">
        <v>357</v>
      </c>
      <c r="C46" s="66" t="s">
        <v>364</v>
      </c>
      <c r="D46" s="66" t="s">
        <v>365</v>
      </c>
      <c r="E46" s="67" t="s">
        <v>249</v>
      </c>
      <c r="F46" s="67"/>
      <c r="G46" s="68" t="str">
        <f aca="false">IF(F46="","",IFERROR(INDEX(Lists!$B$2:$B$6,MATCH(F46,Lists!$A$2:$A$6,0)),""))</f>
        <v/>
      </c>
      <c r="H46" s="69" t="str">
        <f aca="false">IF(E46="Not Applicable","Not Applicable",IF(F46="","Not Started",IFERROR(INDEX(Lists!$C$2:$C$6,MATCH(F46,Lists!$A$2:$A$6,0)),"")))</f>
        <v>Not Started</v>
      </c>
      <c r="I46" s="70" t="str">
        <f aca="false">IF(E46="Not Applicable","N/A",IF(F46="","",F46/4))</f>
        <v/>
      </c>
      <c r="J46" s="71"/>
      <c r="K46" s="71"/>
      <c r="L46" s="71"/>
      <c r="M46" s="72"/>
      <c r="N46" s="73" t="s">
        <v>357</v>
      </c>
    </row>
    <row r="47" customFormat="false" ht="19.5" hidden="false" customHeight="true" outlineLevel="0" collapsed="false">
      <c r="A47" s="64" t="s">
        <v>366</v>
      </c>
      <c r="B47" s="64"/>
      <c r="C47" s="64"/>
      <c r="D47" s="64"/>
      <c r="E47" s="64"/>
      <c r="F47" s="64"/>
      <c r="G47" s="64"/>
      <c r="H47" s="64"/>
      <c r="I47" s="64"/>
      <c r="J47" s="64"/>
      <c r="K47" s="64"/>
      <c r="L47" s="64"/>
      <c r="M47" s="64"/>
    </row>
    <row r="48" customFormat="false" ht="60" hidden="false" customHeight="true" outlineLevel="0" collapsed="false">
      <c r="A48" s="65" t="s">
        <v>367</v>
      </c>
      <c r="B48" s="65" t="s">
        <v>368</v>
      </c>
      <c r="C48" s="66" t="s">
        <v>369</v>
      </c>
      <c r="D48" s="66" t="s">
        <v>370</v>
      </c>
      <c r="E48" s="67" t="s">
        <v>249</v>
      </c>
      <c r="F48" s="67"/>
      <c r="G48" s="68" t="str">
        <f aca="false">IF(F48="","",IFERROR(INDEX(Lists!$B$2:$B$6,MATCH(F48,Lists!$A$2:$A$6,0)),""))</f>
        <v/>
      </c>
      <c r="H48" s="69" t="str">
        <f aca="false">IF(E48="Not Applicable","Not Applicable",IF(F48="","Not Started",IFERROR(INDEX(Lists!$C$2:$C$6,MATCH(F48,Lists!$A$2:$A$6,0)),"")))</f>
        <v>Not Started</v>
      </c>
      <c r="I48" s="70" t="str">
        <f aca="false">IF(E48="Not Applicable","N/A",IF(F48="","",F48/4))</f>
        <v/>
      </c>
      <c r="J48" s="71"/>
      <c r="K48" s="71"/>
      <c r="L48" s="71"/>
      <c r="M48" s="72"/>
      <c r="N48" s="73" t="s">
        <v>368</v>
      </c>
    </row>
    <row r="49" customFormat="false" ht="60" hidden="false" customHeight="true" outlineLevel="0" collapsed="false">
      <c r="A49" s="65" t="s">
        <v>371</v>
      </c>
      <c r="B49" s="65" t="s">
        <v>368</v>
      </c>
      <c r="C49" s="66" t="s">
        <v>372</v>
      </c>
      <c r="D49" s="66" t="s">
        <v>373</v>
      </c>
      <c r="E49" s="67" t="s">
        <v>249</v>
      </c>
      <c r="F49" s="67"/>
      <c r="G49" s="68" t="str">
        <f aca="false">IF(F49="","",IFERROR(INDEX(Lists!$B$2:$B$6,MATCH(F49,Lists!$A$2:$A$6,0)),""))</f>
        <v/>
      </c>
      <c r="H49" s="69" t="str">
        <f aca="false">IF(E49="Not Applicable","Not Applicable",IF(F49="","Not Started",IFERROR(INDEX(Lists!$C$2:$C$6,MATCH(F49,Lists!$A$2:$A$6,0)),"")))</f>
        <v>Not Started</v>
      </c>
      <c r="I49" s="70" t="str">
        <f aca="false">IF(E49="Not Applicable","N/A",IF(F49="","",F49/4))</f>
        <v/>
      </c>
      <c r="J49" s="71"/>
      <c r="K49" s="71"/>
      <c r="L49" s="71"/>
      <c r="M49" s="72"/>
      <c r="N49" s="73" t="s">
        <v>368</v>
      </c>
    </row>
    <row r="50" customFormat="false" ht="46.5" hidden="false" customHeight="true" outlineLevel="0" collapsed="false">
      <c r="A50" s="65" t="s">
        <v>374</v>
      </c>
      <c r="B50" s="65" t="s">
        <v>368</v>
      </c>
      <c r="C50" s="66" t="s">
        <v>375</v>
      </c>
      <c r="D50" s="66" t="s">
        <v>376</v>
      </c>
      <c r="E50" s="67" t="s">
        <v>249</v>
      </c>
      <c r="F50" s="67"/>
      <c r="G50" s="68" t="str">
        <f aca="false">IF(F50="","",IFERROR(INDEX(Lists!$B$2:$B$6,MATCH(F50,Lists!$A$2:$A$6,0)),""))</f>
        <v/>
      </c>
      <c r="H50" s="69" t="str">
        <f aca="false">IF(E50="Not Applicable","Not Applicable",IF(F50="","Not Started",IFERROR(INDEX(Lists!$C$2:$C$6,MATCH(F50,Lists!$A$2:$A$6,0)),"")))</f>
        <v>Not Started</v>
      </c>
      <c r="I50" s="70" t="str">
        <f aca="false">IF(E50="Not Applicable","N/A",IF(F50="","",F50/4))</f>
        <v/>
      </c>
      <c r="J50" s="71"/>
      <c r="K50" s="71"/>
      <c r="L50" s="71"/>
      <c r="M50" s="72"/>
      <c r="N50" s="73" t="s">
        <v>368</v>
      </c>
    </row>
  </sheetData>
  <mergeCells count="11">
    <mergeCell ref="A1:M1"/>
    <mergeCell ref="A2:M2"/>
    <mergeCell ref="A4:M4"/>
    <mergeCell ref="A8:M8"/>
    <mergeCell ref="A11:M11"/>
    <mergeCell ref="A17:M17"/>
    <mergeCell ref="A22:M22"/>
    <mergeCell ref="A32:M32"/>
    <mergeCell ref="A38:M38"/>
    <mergeCell ref="A43:M43"/>
    <mergeCell ref="A47:M47"/>
  </mergeCells>
  <conditionalFormatting sqref="H4:H50">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I4:I50">
    <cfRule type="colorScale" priority="8">
      <colorScale>
        <cfvo type="num" val="0"/>
        <cfvo type="num" val="0.5"/>
        <cfvo type="num" val="1"/>
        <color rgb="FFF6DEDE"/>
        <color rgb="FFFBEECB"/>
        <color rgb="FFD8ECDB"/>
      </colorScale>
    </cfRule>
  </conditionalFormatting>
  <dataValidations count="2">
    <dataValidation allowBlank="true" errorStyle="stop" operator="between" showDropDown="false" showErrorMessage="false" showInputMessage="false" sqref="F5:F7 F9:F10 F12:F16 F18:F21 F23:F31 F33:F37 F39:F42 F44:F46 F48:F50" type="list">
      <formula1>Lists!$A$2:$A$6</formula1>
      <formula2>0</formula2>
    </dataValidation>
    <dataValidation allowBlank="true" errorStyle="stop" operator="between" showDropDown="false" showErrorMessage="false" showInputMessage="false" sqref="E5:E7 E9:E10 E12:E16 E18:E21 E23:E31 E33:E37 E39:E42 E44:E46 E48:E50" type="list">
      <formula1>Lists!$F$2:$F$3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377</v>
      </c>
      <c r="B1" s="0" t="s">
        <v>378</v>
      </c>
      <c r="C1" s="0" t="s">
        <v>54</v>
      </c>
      <c r="D1" s="0" t="s">
        <v>379</v>
      </c>
      <c r="F1" s="0" t="s">
        <v>37</v>
      </c>
    </row>
    <row r="2" customFormat="false" ht="15" hidden="false" customHeight="false" outlineLevel="0" collapsed="false">
      <c r="A2" s="0" t="n">
        <v>0</v>
      </c>
      <c r="B2" s="0" t="s">
        <v>55</v>
      </c>
      <c r="C2" s="0" t="s">
        <v>57</v>
      </c>
      <c r="D2" s="0" t="s">
        <v>56</v>
      </c>
      <c r="F2" s="0" t="s">
        <v>249</v>
      </c>
    </row>
    <row r="3" customFormat="false" ht="15" hidden="false" customHeight="false" outlineLevel="0" collapsed="false">
      <c r="A3" s="0" t="n">
        <v>1</v>
      </c>
      <c r="B3" s="0" t="s">
        <v>58</v>
      </c>
      <c r="C3" s="0" t="s">
        <v>57</v>
      </c>
      <c r="D3" s="0" t="s">
        <v>59</v>
      </c>
      <c r="F3" s="0" t="s">
        <v>126</v>
      </c>
    </row>
    <row r="4" customFormat="false" ht="15" hidden="false" customHeight="false" outlineLevel="0" collapsed="false">
      <c r="A4" s="0" t="n">
        <v>2</v>
      </c>
      <c r="B4" s="0" t="s">
        <v>60</v>
      </c>
      <c r="C4" s="0" t="s">
        <v>62</v>
      </c>
      <c r="D4" s="0" t="s">
        <v>61</v>
      </c>
    </row>
    <row r="5" customFormat="false" ht="15" hidden="false" customHeight="false" outlineLevel="0" collapsed="false">
      <c r="A5" s="0" t="n">
        <v>3</v>
      </c>
      <c r="B5" s="0" t="s">
        <v>63</v>
      </c>
      <c r="C5" s="0" t="s">
        <v>65</v>
      </c>
      <c r="D5" s="0" t="s">
        <v>64</v>
      </c>
    </row>
    <row r="6" customFormat="false" ht="15" hidden="false" customHeight="false" outlineLevel="0" collapsed="false">
      <c r="A6" s="0" t="n">
        <v>4</v>
      </c>
      <c r="B6" s="0" t="s">
        <v>66</v>
      </c>
      <c r="C6" s="0" t="s">
        <v>68</v>
      </c>
      <c r="D6" s="0" t="s">
        <v>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2026-08-01T10:55:09Z</dcterms:created>
  <dc:creator>Risk Professionals (RiskProfs)</dc:creator>
  <dc:description/>
  <dc:language>en-US</dc:language>
  <cp:lastModifiedBy/>
  <dcterms:modified xsi:type="dcterms:W3CDTF">2026-08-01T10:55:09Z</dcterms:modified>
  <cp:revision>0</cp:revision>
  <dc:subject/>
  <dc:title>ISO/IEC 42001:2023 AI Management System – Compliance Self-Assessment</dc:title>
</cp:coreProperties>
</file>

<file path=docProps/custom.xml><?xml version="1.0" encoding="utf-8"?>
<Properties xmlns="http://schemas.openxmlformats.org/officeDocument/2006/custom-properties" xmlns:vt="http://schemas.openxmlformats.org/officeDocument/2006/docPropsVTypes"/>
</file>